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OneDrive\OneDrive - Aexis NV\Wim\Website\xlwdfiles\"/>
    </mc:Choice>
  </mc:AlternateContent>
  <xr:revisionPtr revIDLastSave="74" documentId="14_{56A4D3D5-A919-4EEC-AF3E-C282F5D4A03F}" xr6:coauthVersionLast="45" xr6:coauthVersionMax="45" xr10:uidLastSave="{8C5B1930-6353-4FA5-B039-E05636648452}"/>
  <bookViews>
    <workbookView xWindow="28680" yWindow="-120" windowWidth="51840" windowHeight="21240" xr2:uid="{885B89DE-3B6F-41B2-B990-8946257324B0}"/>
  </bookViews>
  <sheets>
    <sheet name="Toog en kassa" sheetId="1" r:id="rId1"/>
    <sheet name="Help" sheetId="5" r:id="rId2"/>
  </sheets>
  <externalReferences>
    <externalReference r:id="rId3"/>
  </externalReferences>
  <definedNames>
    <definedName name="CALC_Bedragen">'Toog en kassa'!$I$9,'Toog en kassa'!$I$14,'Toog en kassa'!$I$18,'Toog en kassa'!$I$22,'Toog en kassa'!$Q$9,'Toog en kassa'!$Q$14,'Toog en kassa'!$Q$18,'Toog en kassa'!$Q$22,'Toog en kassa'!$Q$32,'Toog en kassa'!$Y$32,'Toog en kassa'!$AH$9,'Toog en kassa'!$AH$14,'Toog en kassa'!$AH$18,'Toog en kassa'!$AH$22,'Toog en kassa'!$AP$9,'Toog en kassa'!$AP$14,'Toog en kassa'!$AP$18,'Toog en kassa'!$AP$22,'Toog en kassa'!$AP$32,'Toog en kassa'!$AX$32</definedName>
    <definedName name="CALC_Eenheden">'Toog en kassa'!$I$8,'Toog en kassa'!$I$13,'Toog en kassa'!$I$17,'Toog en kassa'!$I$21,'Toog en kassa'!$Q$8,'Toog en kassa'!$Q$13,'Toog en kassa'!$Q$17,'Toog en kassa'!$Q$21,'Toog en kassa'!$AH$8,'Toog en kassa'!$AH$13,'Toog en kassa'!$AH$17,'Toog en kassa'!$AH$21,'Toog en kassa'!$AP$8,'Toog en kassa'!$AP$13,'Toog en kassa'!$AP$17,'Toog en kassa'!$AP$21</definedName>
    <definedName name="CALC_Subtotalen">'Toog en kassa'!$I$34,'Toog en kassa'!$Q$34,'Toog en kassa'!$Y$34,'Toog en kassa'!$AH$34,'Toog en kassa'!$AP$34,'Toog en kassa'!$AX$34</definedName>
    <definedName name="INPUT_Bedragen">'Toog en kassa'!$K$25:$P$32,'Toog en kassa'!$S$10:$X$32,'Toog en kassa'!$AJ$25:$AO$32,'Toog en kassa'!$AR$10:$AW$32</definedName>
    <definedName name="INPUT_Datum">Help!$C$4</definedName>
    <definedName name="INPUT_Eenheden">'Toog en kassa'!$C$4:$H$9,'Toog en kassa'!$C$11:$H$14,'Toog en kassa'!$C$16:$H$18,'Toog en kassa'!$C$20:$H$22,'Toog en kassa'!$K$4:$P$9,'Toog en kassa'!$K$11:$P$14,'Toog en kassa'!$K$16:$P$18,'Toog en kassa'!$K$20:$P$22,'Toog en kassa'!$AB$4:$AG$9,'Toog en kassa'!$AB$11:$AG$14,'Toog en kassa'!$AB$16:$AG$18,'Toog en kassa'!$AB$20:$AG$22,'Toog en kassa'!$AJ$4:$AO$9,'Toog en kassa'!$AJ$11:$AO$14,'Toog en kassa'!$AJ$16:$AO$18,'Toog en kassa'!$AJ$20:$AO$22</definedName>
    <definedName name="INPUT_Eigenaar">Help!$C$13</definedName>
    <definedName name="INPUT_Kort_Bedrag">Help!$C$5</definedName>
    <definedName name="INPUT_Korte_Tekst">Help!$C$7</definedName>
    <definedName name="INPUT_Lang_Bedrag">Help!$C$6</definedName>
    <definedName name="INPUT_Lange_Tekst">Help!$C$8</definedName>
    <definedName name="INPUT_Ploegnaam">Help!$C$11</definedName>
    <definedName name="INPUT_PloegNaamTegenstander">Help!$C$12</definedName>
    <definedName name="INPUT_Ploegnamen">Help!$C$18:$C$19</definedName>
    <definedName name="INPUT_Stuks">Help!$C$9</definedName>
    <definedName name="_xlnm.Print_Area" localSheetId="0">'Toog en kassa'!$A$1:$BL$35</definedName>
    <definedName name="SELECT_FORM_Aantal_Consumpties">'Toog en kassa'!$I$8,'Toog en kassa'!$I$13,'Toog en kassa'!$I$17,'Toog en kassa'!$I$21,'Toog en kassa'!$Q$8,'Toog en kassa'!$Q$13,'Toog en kassa'!$Q$17,'Toog en kassa'!$Q$21,'Toog en kassa'!$AH$8,'Toog en kassa'!$AH$13,'Toog en kassa'!$AH$17,'Toog en kassa'!$AH$21,'Toog en kassa'!$AP$8,'Toog en kassa'!$AP$13,'Toog en kassa'!$AP$17,'Toog en kassa'!$AP$21</definedName>
    <definedName name="SELECT_FORM_Bedrag">'Toog en kassa'!$I$14,'Toog en kassa'!$I$18,'Toog en kassa'!$I$22,'Toog en kassa'!$Q$9,'Toog en kassa'!$Q$14,'Toog en kassa'!$Q$18,'Toog en kassa'!$Q$22,'Toog en kassa'!$AH$9,'Toog en kassa'!$AH$14,'Toog en kassa'!$AH$18,'Toog en kassa'!$AH$22,'Toog en kassa'!$AP$9,'Toog en kassa'!$AP$14,'Toog en kassa'!$AP$18,'Toog en kassa'!$AP$22,'Toog en kassa'!$I$9</definedName>
    <definedName name="SELECT_INPUT_Bedragen_Afrekening">'Toog en kassa'!$K$25:$P$32,'Toog en kassa'!$AJ$25:$AO$32</definedName>
    <definedName name="SELECT_INPUT_Bedragen_Direct_Betaald">'Toog en kassa'!$AR$10:$AW$32,'Toog en kassa'!$S$10:$X$32</definedName>
    <definedName name="SELECT_INPUT_Consumpties">'Toog en kassa'!$I$11,'Toog en kassa'!$I$16,'Toog en kassa'!$I$20,'Toog en kassa'!$Q$20,'Toog en kassa'!$Q$16,'Toog en kassa'!$Q$11,'Toog en kassa'!$Q$4,'Toog en kassa'!$AH$4,'Toog en kassa'!$AH$11,'Toog en kassa'!$AH$16,'Toog en kassa'!$AH$20,'Toog en kassa'!$AP$20,'Toog en kassa'!$AP$16,'Toog en kassa'!$AP$11,'Toog en kassa'!$AP$4,'Toog en kassa'!$I$4</definedName>
    <definedName name="SELECT_INPUT_Consumpties_Turven">'Toog en kassa'!$C$4:$H$9,'Toog en kassa'!$C$11:$H$14,'Toog en kassa'!$C$16:$H$18,'Toog en kassa'!$C$20:$H$22,'Toog en kassa'!$K$4:$P$9,'Toog en kassa'!$K$11:$P$14,'Toog en kassa'!$K$16:$P$18,'Toog en kassa'!$K$20:$P$22,'Toog en kassa'!$AB$4:$AG$9,'Toog en kassa'!$AB$11:$AG$14,'Toog en kassa'!$AB$16:$AG$18,'Toog en kassa'!$AB$20:$AG$22,'Toog en kassa'!$AJ$4:$AO$9,'Toog en kassa'!$AJ$11:$AO$14,'Toog en kassa'!$AJ$16:$AO$18,'Toog en kassa'!$AJ$20:$AO$22</definedName>
    <definedName name="SELECT_INPUT_Prijs_Per_Eenheid">'Toog en kassa'!$B$4,'Toog en kassa'!$B$11,'Toog en kassa'!$B$16,'Toog en kassa'!$B$20,'Toog en kassa'!$AA$20,'Toog en kassa'!$AA$16,'Toog en kassa'!$AA$11,'Toog en kassa'!$AA$4</definedName>
    <definedName name="ZZZ_Restart_Clearen">'Toog en kassa'!$K$25:$P$32,'Toog en kassa'!$S$10:$X$32,'Toog en kassa'!$AJ$25:$AO$32,'Toog en kassa'!$AR$10:$AW$32</definedName>
    <definedName name="ZZZ_Restart_Input_Datum">'Toog en kassa'!$BB$6</definedName>
    <definedName name="ZZZ_Restart_Input_Lang_Bedrag">'Toog en kassa'!$BB$14,'Toog en kassa'!$BB$17,'Toog en kassa'!$BB$18,'Toog en kassa'!$BB$26</definedName>
    <definedName name="ZZZ_Restart_Input_Lange_Tekst">'Toog en kassa'!$BB$7,'Toog en kassa'!$BB$21</definedName>
    <definedName name="ZZZ_Restart_Input_Stuks">'Toog en kassa'!$I$4,'Toog en kassa'!$I$11,'Toog en kassa'!$I$16,'Toog en kassa'!$I$20,'Toog en kassa'!$Q$4,'Toog en kassa'!$Q$11,'Toog en kassa'!$Q$16,'Toog en kassa'!$Q$20,'Toog en kassa'!$AH$4,'Toog en kassa'!$AH$11,'Toog en kassa'!$AH$16,'Toog en kassa'!$AH$20,'Toog en kassa'!$AP$4,'Toog en kassa'!$AP$11,'Toog en kassa'!$AP$16,'Toog en kassa'!$AP$20,'Toog en kassa'!$BF$8:$BF$12,'Toog en kassa'!$BF$14:$BF$21,'Toog en kassa'!$BJ$8:$BJ$12,'Toog en kassa'!$BJ$14:$BJ$21</definedName>
    <definedName name="ZZZ_Restart_Neen">'Toog en kassa'!$BJ$35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F27" i="1" l="1"/>
  <c r="AZ27" i="1"/>
  <c r="C4" i="5"/>
  <c r="C19" i="5"/>
  <c r="C18" i="5"/>
  <c r="BF35" i="1" l="1"/>
  <c r="BF31" i="1"/>
  <c r="AZ25" i="1"/>
  <c r="AZ11" i="1" s="1"/>
  <c r="AZ19" i="1"/>
  <c r="BB7" i="1" l="1"/>
  <c r="BB21" i="1"/>
  <c r="BB14" i="1"/>
  <c r="BB17" i="1"/>
  <c r="BB18" i="1"/>
  <c r="BB26" i="1"/>
  <c r="BB6" i="1"/>
  <c r="I4" i="1"/>
  <c r="I11" i="1"/>
  <c r="I16" i="1"/>
  <c r="I20" i="1"/>
  <c r="Q4" i="1"/>
  <c r="Q11" i="1"/>
  <c r="Q16" i="1"/>
  <c r="Q20" i="1"/>
  <c r="AH4" i="1"/>
  <c r="AH11" i="1"/>
  <c r="AH16" i="1"/>
  <c r="AH20" i="1"/>
  <c r="AP4" i="1"/>
  <c r="AP11" i="1"/>
  <c r="AP16" i="1"/>
  <c r="AP20" i="1"/>
  <c r="BF8" i="1"/>
  <c r="BF9" i="1"/>
  <c r="BF10" i="1"/>
  <c r="BF11" i="1"/>
  <c r="BF12" i="1"/>
  <c r="BF14" i="1"/>
  <c r="BF15" i="1"/>
  <c r="BF16" i="1"/>
  <c r="BF17" i="1"/>
  <c r="BF18" i="1"/>
  <c r="BF19" i="1"/>
  <c r="BF20" i="1"/>
  <c r="BF21" i="1"/>
  <c r="BJ8" i="1"/>
  <c r="BJ9" i="1"/>
  <c r="BJ10" i="1"/>
  <c r="BJ11" i="1"/>
  <c r="BJ12" i="1"/>
  <c r="BJ14" i="1"/>
  <c r="BJ15" i="1"/>
  <c r="BJ16" i="1"/>
  <c r="BJ17" i="1"/>
  <c r="BJ18" i="1"/>
  <c r="BJ19" i="1"/>
  <c r="BJ20" i="1"/>
  <c r="BJ21" i="1"/>
  <c r="BJ5" i="1" l="1"/>
  <c r="BB10" i="1" l="1"/>
  <c r="AT4" i="1" l="1"/>
  <c r="U4" i="1" l="1"/>
  <c r="C27" i="1"/>
  <c r="AZ29" i="1" s="1"/>
  <c r="AB27" i="1"/>
  <c r="AZ30" i="1" s="1"/>
  <c r="AZ34" i="1" s="1"/>
  <c r="AZ33" i="1" l="1"/>
  <c r="AJ23" i="1"/>
  <c r="D4" i="1" l="1"/>
  <c r="AA9" i="1"/>
  <c r="AA8" i="1"/>
  <c r="AA7" i="1"/>
  <c r="AA6" i="1"/>
  <c r="AA5" i="1"/>
  <c r="E9" i="1" l="1"/>
  <c r="D9" i="1"/>
  <c r="G6" i="1"/>
  <c r="F6" i="1"/>
  <c r="C8" i="1"/>
  <c r="E5" i="1"/>
  <c r="H7" i="1"/>
  <c r="D5" i="1"/>
  <c r="C4" i="1"/>
  <c r="G8" i="1"/>
  <c r="E7" i="1"/>
  <c r="C6" i="1"/>
  <c r="G4" i="1"/>
  <c r="H9" i="1"/>
  <c r="F8" i="1"/>
  <c r="D7" i="1"/>
  <c r="H5" i="1"/>
  <c r="F4" i="1"/>
  <c r="G9" i="1"/>
  <c r="C9" i="1"/>
  <c r="E8" i="1"/>
  <c r="G7" i="1"/>
  <c r="C7" i="1"/>
  <c r="E6" i="1"/>
  <c r="G5" i="1"/>
  <c r="C5" i="1"/>
  <c r="E4" i="1"/>
  <c r="F9" i="1"/>
  <c r="H8" i="1"/>
  <c r="D8" i="1"/>
  <c r="F7" i="1"/>
  <c r="H6" i="1"/>
  <c r="D6" i="1"/>
  <c r="F5" i="1"/>
  <c r="H4" i="1"/>
  <c r="Y34" i="1"/>
  <c r="E16" i="1" l="1"/>
  <c r="C17" i="1"/>
  <c r="G17" i="1"/>
  <c r="E18" i="1"/>
  <c r="C16" i="1"/>
  <c r="H16" i="1"/>
  <c r="H17" i="1"/>
  <c r="G18" i="1"/>
  <c r="D16" i="1"/>
  <c r="D17" i="1"/>
  <c r="C18" i="1"/>
  <c r="H18" i="1"/>
  <c r="F16" i="1"/>
  <c r="E17" i="1"/>
  <c r="D18" i="1"/>
  <c r="G16" i="1"/>
  <c r="F17" i="1"/>
  <c r="F18" i="1"/>
  <c r="K11" i="1"/>
  <c r="O11" i="1"/>
  <c r="M12" i="1"/>
  <c r="K13" i="1"/>
  <c r="O13" i="1"/>
  <c r="M14" i="1"/>
  <c r="L11" i="1"/>
  <c r="P11" i="1"/>
  <c r="N12" i="1"/>
  <c r="L13" i="1"/>
  <c r="K12" i="1"/>
  <c r="M13" i="1"/>
  <c r="L14" i="1"/>
  <c r="L12" i="1"/>
  <c r="N13" i="1"/>
  <c r="N14" i="1"/>
  <c r="M11" i="1"/>
  <c r="O12" i="1"/>
  <c r="P13" i="1"/>
  <c r="O14" i="1"/>
  <c r="P12" i="1"/>
  <c r="K14" i="1"/>
  <c r="P14" i="1"/>
  <c r="N11" i="1"/>
  <c r="AD16" i="1"/>
  <c r="AB17" i="1"/>
  <c r="AF17" i="1"/>
  <c r="AD18" i="1"/>
  <c r="AE16" i="1"/>
  <c r="AC17" i="1"/>
  <c r="AG17" i="1"/>
  <c r="AE18" i="1"/>
  <c r="AB16" i="1"/>
  <c r="AD17" i="1"/>
  <c r="AF18" i="1"/>
  <c r="AC16" i="1"/>
  <c r="AE17" i="1"/>
  <c r="AG18" i="1"/>
  <c r="AF16" i="1"/>
  <c r="AB18" i="1"/>
  <c r="AG16" i="1"/>
  <c r="AC18" i="1"/>
  <c r="AJ11" i="1"/>
  <c r="AN11" i="1"/>
  <c r="AL12" i="1"/>
  <c r="AJ13" i="1"/>
  <c r="AN13" i="1"/>
  <c r="AL14" i="1"/>
  <c r="AK11" i="1"/>
  <c r="AO11" i="1"/>
  <c r="AM12" i="1"/>
  <c r="AK13" i="1"/>
  <c r="AO13" i="1"/>
  <c r="AM14" i="1"/>
  <c r="AJ12" i="1"/>
  <c r="AL13" i="1"/>
  <c r="AN14" i="1"/>
  <c r="AK12" i="1"/>
  <c r="AM13" i="1"/>
  <c r="AO14" i="1"/>
  <c r="AL11" i="1"/>
  <c r="AN12" i="1"/>
  <c r="AJ14" i="1"/>
  <c r="AM11" i="1"/>
  <c r="AO12" i="1"/>
  <c r="AK14" i="1"/>
  <c r="C20" i="1"/>
  <c r="G20" i="1"/>
  <c r="E21" i="1"/>
  <c r="C22" i="1"/>
  <c r="G22" i="1"/>
  <c r="E20" i="1"/>
  <c r="D21" i="1"/>
  <c r="D22" i="1"/>
  <c r="F20" i="1"/>
  <c r="F21" i="1"/>
  <c r="E22" i="1"/>
  <c r="H20" i="1"/>
  <c r="G21" i="1"/>
  <c r="F22" i="1"/>
  <c r="H22" i="1"/>
  <c r="D20" i="1"/>
  <c r="C21" i="1"/>
  <c r="H21" i="1"/>
  <c r="K4" i="1"/>
  <c r="O4" i="1"/>
  <c r="M5" i="1"/>
  <c r="K6" i="1"/>
  <c r="O6" i="1"/>
  <c r="M7" i="1"/>
  <c r="K8" i="1"/>
  <c r="O8" i="1"/>
  <c r="M9" i="1"/>
  <c r="L4" i="1"/>
  <c r="K5" i="1"/>
  <c r="P5" i="1"/>
  <c r="P6" i="1"/>
  <c r="O7" i="1"/>
  <c r="N8" i="1"/>
  <c r="N9" i="1"/>
  <c r="M4" i="1"/>
  <c r="L5" i="1"/>
  <c r="L6" i="1"/>
  <c r="K7" i="1"/>
  <c r="P7" i="1"/>
  <c r="P8" i="1"/>
  <c r="O9" i="1"/>
  <c r="N4" i="1"/>
  <c r="N5" i="1"/>
  <c r="M6" i="1"/>
  <c r="L7" i="1"/>
  <c r="L8" i="1"/>
  <c r="K9" i="1"/>
  <c r="P9" i="1"/>
  <c r="O5" i="1"/>
  <c r="L9" i="1"/>
  <c r="N6" i="1"/>
  <c r="N7" i="1"/>
  <c r="P4" i="1"/>
  <c r="M8" i="1"/>
  <c r="AB20" i="1"/>
  <c r="AF20" i="1"/>
  <c r="AD21" i="1"/>
  <c r="AB22" i="1"/>
  <c r="AF22" i="1"/>
  <c r="AC20" i="1"/>
  <c r="AG20" i="1"/>
  <c r="AE21" i="1"/>
  <c r="AC22" i="1"/>
  <c r="AG22" i="1"/>
  <c r="AD20" i="1"/>
  <c r="AF21" i="1"/>
  <c r="AE20" i="1"/>
  <c r="AG21" i="1"/>
  <c r="AB21" i="1"/>
  <c r="AD22" i="1"/>
  <c r="AE22" i="1"/>
  <c r="AC21" i="1"/>
  <c r="AJ4" i="1"/>
  <c r="AN4" i="1"/>
  <c r="AL5" i="1"/>
  <c r="AJ6" i="1"/>
  <c r="AN6" i="1"/>
  <c r="AL7" i="1"/>
  <c r="AJ8" i="1"/>
  <c r="AN8" i="1"/>
  <c r="AL9" i="1"/>
  <c r="AK4" i="1"/>
  <c r="AO4" i="1"/>
  <c r="AM5" i="1"/>
  <c r="AK6" i="1"/>
  <c r="AO6" i="1"/>
  <c r="AM7" i="1"/>
  <c r="AK8" i="1"/>
  <c r="AO8" i="1"/>
  <c r="AM9" i="1"/>
  <c r="AJ5" i="1"/>
  <c r="AL6" i="1"/>
  <c r="AN7" i="1"/>
  <c r="AJ9" i="1"/>
  <c r="AK5" i="1"/>
  <c r="AM6" i="1"/>
  <c r="AO7" i="1"/>
  <c r="AK9" i="1"/>
  <c r="AL4" i="1"/>
  <c r="AN5" i="1"/>
  <c r="AJ7" i="1"/>
  <c r="AL8" i="1"/>
  <c r="AN9" i="1"/>
  <c r="AM4" i="1"/>
  <c r="AO5" i="1"/>
  <c r="AK7" i="1"/>
  <c r="AM8" i="1"/>
  <c r="AO9" i="1"/>
  <c r="K20" i="1"/>
  <c r="O20" i="1"/>
  <c r="M21" i="1"/>
  <c r="K22" i="1"/>
  <c r="O22" i="1"/>
  <c r="L20" i="1"/>
  <c r="P20" i="1"/>
  <c r="N21" i="1"/>
  <c r="L22" i="1"/>
  <c r="P22" i="1"/>
  <c r="M20" i="1"/>
  <c r="O21" i="1"/>
  <c r="N20" i="1"/>
  <c r="P21" i="1"/>
  <c r="K21" i="1"/>
  <c r="M22" i="1"/>
  <c r="N22" i="1"/>
  <c r="L21" i="1"/>
  <c r="AB4" i="1"/>
  <c r="AF4" i="1"/>
  <c r="AD5" i="1"/>
  <c r="AB6" i="1"/>
  <c r="AF6" i="1"/>
  <c r="AD7" i="1"/>
  <c r="AB8" i="1"/>
  <c r="AF8" i="1"/>
  <c r="AD9" i="1"/>
  <c r="AC4" i="1"/>
  <c r="AG4" i="1"/>
  <c r="AE5" i="1"/>
  <c r="AC6" i="1"/>
  <c r="AG6" i="1"/>
  <c r="AE7" i="1"/>
  <c r="AC8" i="1"/>
  <c r="AG8" i="1"/>
  <c r="AE9" i="1"/>
  <c r="AB5" i="1"/>
  <c r="AD6" i="1"/>
  <c r="AF7" i="1"/>
  <c r="AB9" i="1"/>
  <c r="AC5" i="1"/>
  <c r="AE6" i="1"/>
  <c r="AG7" i="1"/>
  <c r="AC9" i="1"/>
  <c r="AD4" i="1"/>
  <c r="AF5" i="1"/>
  <c r="AB7" i="1"/>
  <c r="AD8" i="1"/>
  <c r="AF9" i="1"/>
  <c r="AC7" i="1"/>
  <c r="AE8" i="1"/>
  <c r="AE4" i="1"/>
  <c r="AG9" i="1"/>
  <c r="AG5" i="1"/>
  <c r="AJ20" i="1"/>
  <c r="AN20" i="1"/>
  <c r="AL21" i="1"/>
  <c r="AJ22" i="1"/>
  <c r="AN22" i="1"/>
  <c r="AK20" i="1"/>
  <c r="AO20" i="1"/>
  <c r="AM21" i="1"/>
  <c r="AK22" i="1"/>
  <c r="AO22" i="1"/>
  <c r="AL20" i="1"/>
  <c r="AN21" i="1"/>
  <c r="AM20" i="1"/>
  <c r="AO21" i="1"/>
  <c r="AJ21" i="1"/>
  <c r="AL22" i="1"/>
  <c r="AK21" i="1"/>
  <c r="AM22" i="1"/>
  <c r="C11" i="1"/>
  <c r="G11" i="1"/>
  <c r="E12" i="1"/>
  <c r="C13" i="1"/>
  <c r="F11" i="1"/>
  <c r="F12" i="1"/>
  <c r="E13" i="1"/>
  <c r="C14" i="1"/>
  <c r="G14" i="1"/>
  <c r="H11" i="1"/>
  <c r="G12" i="1"/>
  <c r="F13" i="1"/>
  <c r="D14" i="1"/>
  <c r="H14" i="1"/>
  <c r="D11" i="1"/>
  <c r="C12" i="1"/>
  <c r="H12" i="1"/>
  <c r="G13" i="1"/>
  <c r="E14" i="1"/>
  <c r="E11" i="1"/>
  <c r="F14" i="1"/>
  <c r="D12" i="1"/>
  <c r="D13" i="1"/>
  <c r="H13" i="1"/>
  <c r="M16" i="1"/>
  <c r="K17" i="1"/>
  <c r="O17" i="1"/>
  <c r="M18" i="1"/>
  <c r="N16" i="1"/>
  <c r="L17" i="1"/>
  <c r="P17" i="1"/>
  <c r="N18" i="1"/>
  <c r="K16" i="1"/>
  <c r="M17" i="1"/>
  <c r="O18" i="1"/>
  <c r="L16" i="1"/>
  <c r="N17" i="1"/>
  <c r="P18" i="1"/>
  <c r="O16" i="1"/>
  <c r="K18" i="1"/>
  <c r="P16" i="1"/>
  <c r="L18" i="1"/>
  <c r="AB11" i="1"/>
  <c r="AF11" i="1"/>
  <c r="AD12" i="1"/>
  <c r="AB13" i="1"/>
  <c r="AF13" i="1"/>
  <c r="AD14" i="1"/>
  <c r="AC11" i="1"/>
  <c r="AG11" i="1"/>
  <c r="AE12" i="1"/>
  <c r="AC13" i="1"/>
  <c r="AG13" i="1"/>
  <c r="AE14" i="1"/>
  <c r="AB12" i="1"/>
  <c r="AD13" i="1"/>
  <c r="AF14" i="1"/>
  <c r="AC12" i="1"/>
  <c r="AE13" i="1"/>
  <c r="AG14" i="1"/>
  <c r="AD11" i="1"/>
  <c r="AF12" i="1"/>
  <c r="AB14" i="1"/>
  <c r="AG12" i="1"/>
  <c r="AC14" i="1"/>
  <c r="AE11" i="1"/>
  <c r="AL16" i="1"/>
  <c r="AJ17" i="1"/>
  <c r="AN17" i="1"/>
  <c r="AL18" i="1"/>
  <c r="AM16" i="1"/>
  <c r="AK17" i="1"/>
  <c r="AO17" i="1"/>
  <c r="AM18" i="1"/>
  <c r="AJ16" i="1"/>
  <c r="AL17" i="1"/>
  <c r="AN18" i="1"/>
  <c r="AK16" i="1"/>
  <c r="AM17" i="1"/>
  <c r="AO18" i="1"/>
  <c r="AN16" i="1"/>
  <c r="AJ18" i="1"/>
  <c r="AO16" i="1"/>
  <c r="AK18" i="1"/>
  <c r="AP34" i="1" l="1"/>
  <c r="AA22" i="1"/>
  <c r="AA21" i="1"/>
  <c r="AA18" i="1"/>
  <c r="AA17" i="1"/>
  <c r="AA14" i="1"/>
  <c r="AA13" i="1"/>
  <c r="AA12" i="1"/>
  <c r="I18" i="1" l="1"/>
  <c r="I17" i="1"/>
  <c r="Q17" i="1"/>
  <c r="Q18" i="1"/>
  <c r="AH34" i="1"/>
  <c r="BB34" i="1" s="1"/>
  <c r="AH8" i="1"/>
  <c r="AH9" i="1"/>
  <c r="AH18" i="1"/>
  <c r="AH17" i="1"/>
  <c r="AP8" i="1"/>
  <c r="AP9" i="1"/>
  <c r="AP17" i="1"/>
  <c r="AP18" i="1" s="1"/>
  <c r="I21" i="1"/>
  <c r="I22" i="1" s="1"/>
  <c r="Q14" i="1"/>
  <c r="Q13" i="1"/>
  <c r="Q22" i="1"/>
  <c r="Q21" i="1"/>
  <c r="AH14" i="1"/>
  <c r="AH13" i="1"/>
  <c r="AH22" i="1"/>
  <c r="AH21" i="1"/>
  <c r="AP14" i="1"/>
  <c r="AP13" i="1"/>
  <c r="AP22" i="1"/>
  <c r="AP21" i="1"/>
  <c r="I13" i="1"/>
  <c r="I14" i="1"/>
  <c r="Q8" i="1"/>
  <c r="Q9" i="1" s="1"/>
  <c r="BG11" i="1" l="1"/>
  <c r="BG14" i="1"/>
  <c r="BK15" i="1"/>
  <c r="BK21" i="1"/>
  <c r="BG18" i="1"/>
  <c r="AX32" i="1"/>
  <c r="AX34" i="1" s="1"/>
  <c r="BB30" i="1" s="1"/>
  <c r="Q32" i="1"/>
  <c r="Q34" i="1" s="1"/>
  <c r="Y32" i="1"/>
  <c r="BG9" i="1"/>
  <c r="AT5" i="1"/>
  <c r="BG17" i="1"/>
  <c r="BF5" i="1"/>
  <c r="AF34" i="1"/>
  <c r="AA4" i="1"/>
  <c r="AA11" i="1"/>
  <c r="AA16" i="1"/>
  <c r="AA20" i="1"/>
  <c r="AJ2" i="1"/>
  <c r="AB2" i="1"/>
  <c r="AR8" i="1"/>
  <c r="AR4" i="1"/>
  <c r="AR5" i="1"/>
  <c r="S4" i="1"/>
  <c r="S5" i="1"/>
  <c r="AP32" i="1"/>
  <c r="BG10" i="1"/>
  <c r="BG12" i="1"/>
  <c r="BG15" i="1"/>
  <c r="BG16" i="1"/>
  <c r="BG19" i="1"/>
  <c r="BG20" i="1"/>
  <c r="BG21" i="1"/>
  <c r="BK9" i="1"/>
  <c r="BK10" i="1"/>
  <c r="BK11" i="1"/>
  <c r="BK12" i="1"/>
  <c r="BK14" i="1"/>
  <c r="BK16" i="1"/>
  <c r="BK17" i="1"/>
  <c r="BK18" i="1"/>
  <c r="BK19" i="1"/>
  <c r="BK20" i="1"/>
  <c r="BK8" i="1" l="1"/>
  <c r="BK23" i="1"/>
  <c r="BG8" i="1"/>
  <c r="BG23" i="1"/>
  <c r="BB9" i="1" s="1"/>
  <c r="U5" i="1"/>
  <c r="I34" i="1" l="1"/>
  <c r="BB29" i="1" l="1"/>
  <c r="BB31" i="1" s="1"/>
  <c r="BB33" i="1"/>
  <c r="I8" i="1"/>
  <c r="I9" i="1" s="1"/>
  <c r="BB15" i="1" l="1"/>
  <c r="BB16" i="1" s="1"/>
  <c r="BB19" i="1" s="1"/>
  <c r="BB24" i="1"/>
  <c r="BB25" i="1" l="1"/>
  <c r="BB27" i="1" s="1"/>
  <c r="BB11" i="1" l="1"/>
  <c r="BB12" i="1" s="1"/>
</calcChain>
</file>

<file path=xl/sharedStrings.xml><?xml version="1.0" encoding="utf-8"?>
<sst xmlns="http://schemas.openxmlformats.org/spreadsheetml/2006/main" count="78" uniqueCount="60">
  <si>
    <t>Lucyvo</t>
  </si>
  <si>
    <t>Duvel</t>
  </si>
  <si>
    <t>Op de poef</t>
  </si>
  <si>
    <t>Direct betaald</t>
  </si>
  <si>
    <t>Kassa beginstand</t>
  </si>
  <si>
    <t>Kassa eindstand</t>
  </si>
  <si>
    <t>Dagomzet</t>
  </si>
  <si>
    <t>Datum</t>
  </si>
  <si>
    <t>Match</t>
  </si>
  <si>
    <t>Veld</t>
  </si>
  <si>
    <t>+</t>
  </si>
  <si>
    <t>-</t>
  </si>
  <si>
    <t>Manier van betalen:</t>
  </si>
  <si>
    <t>Water</t>
  </si>
  <si>
    <t>Aantal</t>
  </si>
  <si>
    <t>Waarde</t>
  </si>
  <si>
    <t>Delta kassa</t>
  </si>
  <si>
    <t>Totaal</t>
  </si>
  <si>
    <t>Afrekening</t>
  </si>
  <si>
    <t>Subtotalen</t>
  </si>
  <si>
    <t>25% dagomzet</t>
  </si>
  <si>
    <t>Tegenstander</t>
  </si>
  <si>
    <t>Leffe</t>
  </si>
  <si>
    <t>Ice Tea</t>
  </si>
  <si>
    <t>Palm, Kriek</t>
  </si>
  <si>
    <t>Opzoekwaarde</t>
  </si>
  <si>
    <t>Uitkomst</t>
  </si>
  <si>
    <t>Turven</t>
  </si>
  <si>
    <t>Aquarius, AA</t>
  </si>
  <si>
    <t>Pils, Cola</t>
  </si>
  <si>
    <t>Water, Gini</t>
  </si>
  <si>
    <t>Sprite, Fanta</t>
  </si>
  <si>
    <t>Koffie, T, Soep</t>
  </si>
  <si>
    <t>Choco, Chips</t>
  </si>
  <si>
    <t>Jenever</t>
  </si>
  <si>
    <t>Cava, Wijn:  I I</t>
  </si>
  <si>
    <r>
      <rPr>
        <sz val="9"/>
        <color theme="1"/>
        <rFont val="Segoe UI"/>
        <family val="2"/>
      </rPr>
      <t xml:space="preserve">Rekeningnummer:       </t>
    </r>
    <r>
      <rPr>
        <i/>
        <sz val="9"/>
        <color theme="1"/>
        <rFont val="Segoe UI"/>
        <family val="2"/>
      </rPr>
      <t>BE42 7330 0834 4454</t>
    </r>
  </si>
  <si>
    <t>Poef: OFWEL afgerekende consumpties</t>
  </si>
  <si>
    <t>Poef: OFWEL afgerekende betalingen</t>
  </si>
  <si>
    <t>Scheidsrechter</t>
  </si>
  <si>
    <t>Afronding rekening</t>
  </si>
  <si>
    <t>Neen</t>
  </si>
  <si>
    <t>Lijsten</t>
  </si>
  <si>
    <t>Constanten</t>
  </si>
  <si>
    <t>INPUT_Ploegnamen</t>
  </si>
  <si>
    <t>INPUT_Stuks</t>
  </si>
  <si>
    <t>INPUT_PloegNaamTegenstander</t>
  </si>
  <si>
    <t>INPUT_Ploegnaam</t>
  </si>
  <si>
    <t>INPUT_Lange_Tekst</t>
  </si>
  <si>
    <t>INPUT_Lang_Bedrag</t>
  </si>
  <si>
    <t>INPUT_Korte_Tekst</t>
  </si>
  <si>
    <t>INPUT_Kort_Bedrag</t>
  </si>
  <si>
    <t>INPUT_Eigenaar</t>
  </si>
  <si>
    <t>INPUT_Datum</t>
  </si>
  <si>
    <t>De Weerdt</t>
  </si>
  <si>
    <t xml:space="preserve">   st</t>
  </si>
  <si>
    <t>….....................................</t>
  </si>
  <si>
    <t>….....................</t>
  </si>
  <si>
    <t>….................. €</t>
  </si>
  <si>
    <t xml:space="preserve">  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</si>
</sst>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[$€-813]_-;\-* #,##0.00\ [$€-813]_-;_-* &quot;-&quot;??\ [$€-813]_-;_-@_-"/>
    <numFmt numFmtId="165" formatCode="#,##0.00\ &quot;€&quot;"/>
    <numFmt numFmtId="166" formatCode="#&quot; st&quot;;\ \-#&quot; st&quot;;\ 0&quot; st&quot;"/>
  </numFmts>
  <fonts count="11" x14ac:knownFonts="1">
    <font>
      <sz val="9"/>
      <color theme="1"/>
      <name val="Segoe UI"/>
      <family val="2"/>
    </font>
    <font>
      <b/>
      <sz val="9"/>
      <color theme="1"/>
      <name val="Segoe UI"/>
      <family val="2"/>
    </font>
    <font>
      <i/>
      <sz val="9"/>
      <color theme="1"/>
      <name val="Segoe UI"/>
      <family val="2"/>
    </font>
    <font>
      <b/>
      <u/>
      <sz val="9"/>
      <color theme="1"/>
      <name val="Segoe UI"/>
      <family val="2"/>
    </font>
    <font>
      <b/>
      <i/>
      <sz val="9"/>
      <color theme="1"/>
      <name val="Segoe UI"/>
      <family val="2"/>
    </font>
    <font>
      <sz val="9"/>
      <color theme="4" tint="-0.249977111117893"/>
      <name val="Segoe UI"/>
      <family val="2"/>
    </font>
    <font>
      <sz val="9"/>
      <color theme="1"/>
      <name val="Segoe UI"/>
      <family val="2"/>
    </font>
    <font>
      <sz val="9"/>
      <color theme="4" tint="-0.24994659260841701"/>
      <name val="Segoe UI"/>
      <family val="2"/>
    </font>
    <font>
      <b/>
      <u/>
      <sz val="36"/>
      <color theme="1"/>
      <name val="Segoe UI"/>
      <family val="2"/>
    </font>
    <font>
      <b/>
      <u/>
      <sz val="18"/>
      <color theme="1"/>
      <name val="Segoe UI"/>
      <family val="2"/>
    </font>
    <font>
      <b/>
      <sz val="15"/>
      <color theme="3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</borders>
  <cellStyleXfs count="13">
    <xf numFmtId="0" fontId="0" fillId="0" borderId="0"/>
    <xf numFmtId="0" fontId="6" fillId="0" borderId="7">
      <alignment horizontal="center"/>
      <protection locked="0"/>
    </xf>
    <xf numFmtId="4" fontId="6" fillId="0" borderId="7">
      <protection locked="0"/>
    </xf>
    <xf numFmtId="165" fontId="5" fillId="2" borderId="1">
      <alignment horizontal="right"/>
    </xf>
    <xf numFmtId="166" fontId="6" fillId="0" borderId="7">
      <alignment horizontal="right"/>
      <protection locked="0"/>
    </xf>
    <xf numFmtId="165" fontId="6" fillId="0" borderId="7">
      <alignment horizontal="right"/>
    </xf>
    <xf numFmtId="165" fontId="6" fillId="0" borderId="0">
      <alignment horizontal="right"/>
    </xf>
    <xf numFmtId="166" fontId="5" fillId="0" borderId="26">
      <alignment horizontal="right"/>
    </xf>
    <xf numFmtId="165" fontId="5" fillId="0" borderId="26">
      <alignment horizontal="right"/>
    </xf>
    <xf numFmtId="166" fontId="5" fillId="4" borderId="0">
      <alignment horizontal="right"/>
      <protection locked="0"/>
    </xf>
    <xf numFmtId="165" fontId="7" fillId="0" borderId="0">
      <alignment horizontal="right"/>
      <protection locked="0"/>
    </xf>
    <xf numFmtId="14" fontId="7" fillId="0" borderId="0">
      <alignment horizontal="right"/>
      <protection locked="0"/>
    </xf>
    <xf numFmtId="0" fontId="10" fillId="0" borderId="31" applyNumberFormat="0" applyFill="0" applyAlignment="0" applyProtection="0"/>
  </cellStyleXfs>
  <cellXfs count="95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Alignment="1">
      <alignment horizontal="left" indent="2"/>
    </xf>
    <xf numFmtId="0" fontId="0" fillId="0" borderId="14" xfId="0" applyBorder="1"/>
    <xf numFmtId="0" fontId="0" fillId="0" borderId="0" xfId="0" quotePrefix="1"/>
    <xf numFmtId="0" fontId="1" fillId="0" borderId="14" xfId="0" applyFont="1" applyBorder="1"/>
    <xf numFmtId="164" fontId="0" fillId="0" borderId="0" xfId="0" quotePrefix="1" applyNumberFormat="1" applyBorder="1" applyAlignment="1"/>
    <xf numFmtId="164" fontId="0" fillId="2" borderId="2" xfId="0" applyNumberFormat="1" applyFill="1" applyBorder="1"/>
    <xf numFmtId="0" fontId="0" fillId="0" borderId="0" xfId="0" quotePrefix="1" applyBorder="1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horizontal="left" indent="1"/>
    </xf>
    <xf numFmtId="0" fontId="3" fillId="0" borderId="0" xfId="0" applyFont="1"/>
    <xf numFmtId="0" fontId="0" fillId="0" borderId="18" xfId="0" applyBorder="1"/>
    <xf numFmtId="0" fontId="0" fillId="0" borderId="14" xfId="0" quotePrefix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1" fillId="3" borderId="0" xfId="0" applyFont="1" applyFill="1" applyAlignment="1">
      <alignment horizontal="center" vertical="center" shrinkToFit="1"/>
    </xf>
    <xf numFmtId="0" fontId="0" fillId="0" borderId="11" xfId="0" applyNumberForma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0" fillId="0" borderId="15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12" xfId="0" applyNumberFormat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0" fontId="0" fillId="0" borderId="16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13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17" xfId="0" applyNumberFormat="1" applyBorder="1" applyAlignment="1">
      <alignment horizontal="center"/>
    </xf>
    <xf numFmtId="0" fontId="0" fillId="0" borderId="10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25" xfId="0" applyNumberFormat="1" applyBorder="1" applyAlignment="1">
      <alignment horizontal="center"/>
    </xf>
    <xf numFmtId="164" fontId="1" fillId="2" borderId="2" xfId="0" applyNumberFormat="1" applyFont="1" applyFill="1" applyBorder="1"/>
    <xf numFmtId="0" fontId="2" fillId="0" borderId="0" xfId="0" applyFont="1" applyAlignment="1">
      <alignment horizontal="left" indent="2"/>
    </xf>
    <xf numFmtId="0" fontId="6" fillId="0" borderId="11" xfId="1" applyBorder="1">
      <alignment horizontal="center"/>
      <protection locked="0"/>
    </xf>
    <xf numFmtId="0" fontId="6" fillId="0" borderId="5" xfId="1" applyBorder="1">
      <alignment horizontal="center"/>
      <protection locked="0"/>
    </xf>
    <xf numFmtId="0" fontId="6" fillId="0" borderId="6" xfId="1" applyBorder="1">
      <alignment horizontal="center"/>
      <protection locked="0"/>
    </xf>
    <xf numFmtId="0" fontId="6" fillId="0" borderId="12" xfId="1" applyBorder="1">
      <alignment horizontal="center"/>
      <protection locked="0"/>
    </xf>
    <xf numFmtId="0" fontId="6" fillId="0" borderId="7" xfId="1" applyBorder="1">
      <alignment horizontal="center"/>
      <protection locked="0"/>
    </xf>
    <xf numFmtId="0" fontId="6" fillId="0" borderId="8" xfId="1" applyBorder="1">
      <alignment horizontal="center"/>
      <protection locked="0"/>
    </xf>
    <xf numFmtId="0" fontId="6" fillId="0" borderId="13" xfId="1" applyBorder="1">
      <alignment horizontal="center"/>
      <protection locked="0"/>
    </xf>
    <xf numFmtId="0" fontId="6" fillId="0" borderId="9" xfId="1" applyBorder="1">
      <alignment horizontal="center"/>
      <protection locked="0"/>
    </xf>
    <xf numFmtId="0" fontId="6" fillId="0" borderId="10" xfId="1" applyBorder="1">
      <alignment horizontal="center"/>
      <protection locked="0"/>
    </xf>
    <xf numFmtId="4" fontId="6" fillId="0" borderId="11" xfId="2" applyBorder="1">
      <protection locked="0"/>
    </xf>
    <xf numFmtId="4" fontId="6" fillId="0" borderId="5" xfId="2" applyBorder="1">
      <protection locked="0"/>
    </xf>
    <xf numFmtId="4" fontId="6" fillId="0" borderId="6" xfId="2" applyBorder="1">
      <protection locked="0"/>
    </xf>
    <xf numFmtId="4" fontId="6" fillId="0" borderId="12" xfId="2" applyBorder="1">
      <protection locked="0"/>
    </xf>
    <xf numFmtId="4" fontId="6" fillId="0" borderId="7" xfId="2" applyBorder="1">
      <protection locked="0"/>
    </xf>
    <xf numFmtId="4" fontId="6" fillId="0" borderId="8" xfId="2" applyBorder="1">
      <protection locked="0"/>
    </xf>
    <xf numFmtId="4" fontId="6" fillId="0" borderId="13" xfId="2" applyBorder="1">
      <protection locked="0"/>
    </xf>
    <xf numFmtId="4" fontId="6" fillId="0" borderId="9" xfId="2" applyBorder="1">
      <protection locked="0"/>
    </xf>
    <xf numFmtId="4" fontId="6" fillId="0" borderId="10" xfId="2" applyBorder="1">
      <protection locked="0"/>
    </xf>
    <xf numFmtId="165" fontId="5" fillId="2" borderId="1" xfId="3">
      <alignment horizontal="right"/>
    </xf>
    <xf numFmtId="166" fontId="6" fillId="0" borderId="7" xfId="4">
      <alignment horizontal="right"/>
      <protection locked="0"/>
    </xf>
    <xf numFmtId="165" fontId="6" fillId="0" borderId="7" xfId="5">
      <alignment horizontal="right"/>
    </xf>
    <xf numFmtId="165" fontId="6" fillId="0" borderId="7" xfId="5" quotePrefix="1">
      <alignment horizontal="right"/>
    </xf>
    <xf numFmtId="165" fontId="6" fillId="0" borderId="0" xfId="6">
      <alignment horizontal="right"/>
    </xf>
    <xf numFmtId="165" fontId="6" fillId="0" borderId="0" xfId="6" quotePrefix="1">
      <alignment horizontal="right"/>
    </xf>
    <xf numFmtId="165" fontId="6" fillId="0" borderId="14" xfId="6" quotePrefix="1" applyBorder="1">
      <alignment horizontal="right"/>
    </xf>
    <xf numFmtId="166" fontId="5" fillId="0" borderId="26" xfId="7">
      <alignment horizontal="right"/>
    </xf>
    <xf numFmtId="166" fontId="5" fillId="0" borderId="26" xfId="7" quotePrefix="1">
      <alignment horizontal="right"/>
    </xf>
    <xf numFmtId="165" fontId="5" fillId="0" borderId="26" xfId="8" quotePrefix="1">
      <alignment horizontal="right"/>
    </xf>
    <xf numFmtId="165" fontId="5" fillId="0" borderId="26" xfId="8">
      <alignment horizontal="right"/>
    </xf>
    <xf numFmtId="166" fontId="5" fillId="4" borderId="0" xfId="9">
      <alignment horizontal="right"/>
      <protection locked="0"/>
    </xf>
    <xf numFmtId="0" fontId="0" fillId="0" borderId="0" xfId="0" applyProtection="1">
      <protection locked="0"/>
    </xf>
    <xf numFmtId="4" fontId="6" fillId="0" borderId="27" xfId="2" applyBorder="1">
      <protection locked="0"/>
    </xf>
    <xf numFmtId="4" fontId="6" fillId="0" borderId="28" xfId="2" applyBorder="1">
      <protection locked="0"/>
    </xf>
    <xf numFmtId="4" fontId="6" fillId="0" borderId="29" xfId="2" applyBorder="1">
      <protection locked="0"/>
    </xf>
    <xf numFmtId="0" fontId="1" fillId="0" borderId="0" xfId="0" applyFont="1"/>
    <xf numFmtId="165" fontId="7" fillId="0" borderId="0" xfId="10" quotePrefix="1">
      <alignment horizontal="right"/>
      <protection locked="0"/>
    </xf>
    <xf numFmtId="0" fontId="0" fillId="0" borderId="0" xfId="0" applyFont="1" applyAlignment="1">
      <alignment horizontal="left" indent="2"/>
    </xf>
    <xf numFmtId="165" fontId="0" fillId="0" borderId="0" xfId="0" applyNumberFormat="1"/>
    <xf numFmtId="14" fontId="7" fillId="0" borderId="0" xfId="11" quotePrefix="1">
      <alignment horizontal="right"/>
      <protection locked="0"/>
    </xf>
    <xf numFmtId="165" fontId="7" fillId="0" borderId="0" xfId="10">
      <alignment horizontal="right"/>
      <protection locked="0"/>
    </xf>
    <xf numFmtId="165" fontId="7" fillId="0" borderId="0" xfId="10">
      <alignment horizontal="right"/>
      <protection locked="0"/>
    </xf>
    <xf numFmtId="0" fontId="10" fillId="0" borderId="31" xfId="12" applyAlignment="1"/>
    <xf numFmtId="0" fontId="2" fillId="0" borderId="0" xfId="0" applyFont="1"/>
    <xf numFmtId="0" fontId="0" fillId="0" borderId="0" xfId="0" applyFill="1"/>
    <xf numFmtId="0" fontId="2" fillId="0" borderId="0" xfId="0" quotePrefix="1" applyFont="1"/>
    <xf numFmtId="0" fontId="0" fillId="0" borderId="0" xfId="0" quotePrefix="1" applyFill="1"/>
    <xf numFmtId="0" fontId="8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14" fontId="7" fillId="0" borderId="0" xfId="11">
      <alignment horizontal="right"/>
      <protection locked="0"/>
    </xf>
    <xf numFmtId="165" fontId="7" fillId="0" borderId="0" xfId="10">
      <alignment horizontal="right"/>
      <protection locked="0"/>
    </xf>
    <xf numFmtId="0" fontId="4" fillId="0" borderId="3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3">
    <cellStyle name="FORM_Bedragen" xfId="6" xr:uid="{E1D985B8-1833-43BA-9410-6562FE87A5AC}"/>
    <cellStyle name="FORM_Bedragen_Subtotaal" xfId="3" xr:uid="{4566A8AA-417F-4C57-A9B6-6D7C92C25040}"/>
    <cellStyle name="FORM_Consumpties_Bedrag" xfId="8" xr:uid="{03B8B610-18B3-40F2-9F49-72189DD49C35}"/>
    <cellStyle name="FORM_Consumpties_Stuks" xfId="7" xr:uid="{EA2BB833-ADD0-4FBC-A9BE-2B97FDC92F95}"/>
    <cellStyle name="FORM_Kassa_Bedragen" xfId="5" xr:uid="{30FD35B5-B9AD-4855-9099-DC796084E3DC}"/>
    <cellStyle name="Heading 1" xfId="12" builtinId="16"/>
    <cellStyle name="INPUT_Bedragen" xfId="10" xr:uid="{66355976-02CB-468A-94D8-B979AB347727}"/>
    <cellStyle name="INPUT_Bedragen_Tabellen" xfId="2" xr:uid="{984E845B-FE08-4DFE-9ABE-02C3D70FC5C5}"/>
    <cellStyle name="INPUT_Consumptie_Turven" xfId="1" xr:uid="{0013ED76-EF95-4EBF-A618-F1F32DD19339}"/>
    <cellStyle name="INPUT_Consumpties" xfId="9" xr:uid="{77AD339F-B922-45E4-905B-DA49FA409C9E}"/>
    <cellStyle name="INPUT_Datum" xfId="11" xr:uid="{613DFB2C-C2E1-4D35-82EE-82E8D78FC58A}"/>
    <cellStyle name="INPUT_Kassa_St" xfId="4" xr:uid="{23CECD7C-0ECC-4A15-AC29-5927DBB2B125}"/>
    <cellStyle name="Normal" xfId="0" builtinId="0"/>
  </cellStyles>
  <dxfs count="12"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numFmt numFmtId="168" formatCode="#,##0.0"/>
    </dxf>
    <dxf>
      <numFmt numFmtId="3" formatCode="#,##0"/>
    </dxf>
    <dxf>
      <font>
        <color theme="4" tint="-0.24994659260841701"/>
      </font>
    </dxf>
    <dxf>
      <font>
        <strike/>
      </font>
      <numFmt numFmtId="169" formatCode="\I\I\I\I"/>
    </dxf>
    <dxf>
      <numFmt numFmtId="169" formatCode="\I\I\I\I"/>
    </dxf>
    <dxf>
      <numFmt numFmtId="170" formatCode="\I\I\I"/>
    </dxf>
    <dxf>
      <numFmt numFmtId="171" formatCode="\I\I"/>
    </dxf>
    <dxf>
      <numFmt numFmtId="172" formatCode="\I"/>
    </dxf>
    <dxf>
      <numFmt numFmtId="173" formatCode="&quot;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62</xdr:col>
      <xdr:colOff>171449</xdr:colOff>
      <xdr:row>1</xdr:row>
      <xdr:rowOff>0</xdr:rowOff>
    </xdr:from>
    <xdr:to>
      <xdr:col>63</xdr:col>
      <xdr:colOff>0</xdr:colOff>
      <xdr:row>3</xdr:row>
      <xdr:rowOff>133351</xdr:rowOff>
    </xdr:to>
    <xdr:pic macro="[1]!Toog_Restart_From_Scratch">
      <xdr:nvPicPr>
        <xdr:cNvPr id="3" name="Graphic 2" descr="Arrow Horizontal U turn">
          <a:extLst>
            <a:ext uri="{FF2B5EF4-FFF2-40B4-BE49-F238E27FC236}">
              <a16:creationId xmlns:a16="http://schemas.microsoft.com/office/drawing/2014/main" id="{06F29D5F-0F4D-4A58-A7AA-118F514E3C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6355674" y="95250"/>
          <a:ext cx="361951" cy="3619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PERSONAL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definedNames>
      <definedName name="Toog_Restart_From_Scratch"/>
    </defined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3917B-BB0A-4E83-AF72-381A517286FA}">
  <sheetPr codeName="Sheet1"/>
  <dimension ref="A1:BK36"/>
  <sheetViews>
    <sheetView showGridLines="0" showRowColHeaders="0" tabSelected="1" zoomScaleNormal="100" workbookViewId="0"/>
  </sheetViews>
  <sheetFormatPr defaultRowHeight="12" x14ac:dyDescent="0.2"/>
  <cols>
    <col min="1" max="1" width="1.83203125" customWidth="1"/>
    <col min="2" max="2" width="14.1640625" customWidth="1"/>
    <col min="3" max="8" width="6.33203125" customWidth="1"/>
    <col min="9" max="9" width="8.83203125" customWidth="1"/>
    <col min="10" max="10" width="2.5" customWidth="1"/>
    <col min="11" max="16" width="6.33203125" customWidth="1"/>
    <col min="17" max="17" width="8.83203125" customWidth="1"/>
    <col min="18" max="18" width="7.33203125" customWidth="1"/>
    <col min="19" max="24" width="6.33203125" customWidth="1"/>
    <col min="25" max="25" width="8.83203125" customWidth="1"/>
    <col min="26" max="26" width="1.83203125" customWidth="1"/>
    <col min="27" max="27" width="14.1640625" bestFit="1" customWidth="1"/>
    <col min="28" max="33" width="6.33203125" customWidth="1"/>
    <col min="34" max="34" width="8.83203125" customWidth="1"/>
    <col min="35" max="35" width="2.5" customWidth="1"/>
    <col min="36" max="41" width="6.33203125" customWidth="1"/>
    <col min="42" max="42" width="8.83203125" customWidth="1"/>
    <col min="43" max="43" width="7.33203125" customWidth="1"/>
    <col min="44" max="49" width="6.33203125" customWidth="1"/>
    <col min="50" max="50" width="8.83203125" customWidth="1"/>
    <col min="52" max="52" width="23.5" bestFit="1" customWidth="1"/>
    <col min="53" max="53" width="3" customWidth="1"/>
    <col min="54" max="54" width="15" bestFit="1" customWidth="1"/>
    <col min="59" max="59" width="9.33203125" customWidth="1"/>
  </cols>
  <sheetData>
    <row r="1" spans="1:63" ht="7.5" customHeight="1" x14ac:dyDescent="0.2">
      <c r="A1" s="71"/>
    </row>
    <row r="2" spans="1:63" x14ac:dyDescent="0.2">
      <c r="B2" s="24" t="s">
        <v>0</v>
      </c>
      <c r="C2" s="94" t="s">
        <v>2</v>
      </c>
      <c r="D2" s="94"/>
      <c r="E2" s="94"/>
      <c r="F2" s="94"/>
      <c r="G2" s="94"/>
      <c r="H2" s="94"/>
      <c r="K2" s="94" t="s">
        <v>37</v>
      </c>
      <c r="L2" s="94"/>
      <c r="M2" s="94"/>
      <c r="N2" s="94"/>
      <c r="O2" s="94"/>
      <c r="P2" s="94"/>
      <c r="AA2" s="24" t="s">
        <v>21</v>
      </c>
      <c r="AB2" s="94" t="str">
        <f>C2</f>
        <v>Op de poef</v>
      </c>
      <c r="AC2" s="94"/>
      <c r="AD2" s="94"/>
      <c r="AE2" s="94"/>
      <c r="AF2" s="94"/>
      <c r="AG2" s="94"/>
      <c r="AJ2" s="94" t="str">
        <f>K2</f>
        <v>Poef: OFWEL afgerekende consumpties</v>
      </c>
      <c r="AK2" s="94"/>
      <c r="AL2" s="94"/>
      <c r="AM2" s="94"/>
      <c r="AN2" s="94"/>
      <c r="AO2" s="94"/>
    </row>
    <row r="3" spans="1:63" ht="6" customHeight="1" thickBot="1" x14ac:dyDescent="0.25"/>
    <row r="4" spans="1:63" x14ac:dyDescent="0.2">
      <c r="B4" s="39">
        <v>1.8</v>
      </c>
      <c r="C4" s="41">
        <f>LOOKUP( Help!C24 - N($I$4), Help!$J$24:$J$30, Help!$K$24:$K$30 )</f>
        <v>0</v>
      </c>
      <c r="D4" s="42">
        <f>LOOKUP( Help!D24 - N($I$4), Help!$J$24:$J$30, Help!$K$24:$K$30 )</f>
        <v>0</v>
      </c>
      <c r="E4" s="42">
        <f>LOOKUP( Help!E24 - N($I$4), Help!$J$24:$J$30, Help!$K$24:$K$30 )</f>
        <v>0</v>
      </c>
      <c r="F4" s="42">
        <f>LOOKUP( Help!F24 - N($I$4), Help!$J$24:$J$30, Help!$K$24:$K$30 )</f>
        <v>0</v>
      </c>
      <c r="G4" s="42">
        <f>LOOKUP( Help!G24 - N($I$4), Help!$J$24:$J$30, Help!$K$24:$K$30 )</f>
        <v>0</v>
      </c>
      <c r="H4" s="43">
        <f>LOOKUP( Help!H24 - N($I$4), Help!$J$24:$J$30, Help!$K$24:$K$30 )</f>
        <v>0</v>
      </c>
      <c r="I4" s="70" t="str">
        <f>INPUT_Stuks</f>
        <v xml:space="preserve">   st</v>
      </c>
      <c r="K4" s="41">
        <f>LOOKUP( Help!C24 - N($Q$4), Help!$J$24:$J$30, Help!$K$24:$K$30 )</f>
        <v>0</v>
      </c>
      <c r="L4" s="42">
        <f>LOOKUP( Help!D24 - N($Q$4), Help!$J$24:$J$30, Help!$K$24:$K$30 )</f>
        <v>0</v>
      </c>
      <c r="M4" s="42">
        <f>LOOKUP( Help!E24 - N($Q$4), Help!$J$24:$J$30, Help!$K$24:$K$30 )</f>
        <v>0</v>
      </c>
      <c r="N4" s="42">
        <f>LOOKUP( Help!F24 - N($Q$4), Help!$J$24:$J$30, Help!$K$24:$K$30 )</f>
        <v>0</v>
      </c>
      <c r="O4" s="42">
        <f>LOOKUP( Help!G24 - N($Q$4), Help!$J$24:$J$30, Help!$K$24:$K$30 )</f>
        <v>0</v>
      </c>
      <c r="P4" s="43">
        <f>LOOKUP( Help!H24 - N($Q$4), Help!$J$24:$J$30, Help!$K$24:$K$30 )</f>
        <v>0</v>
      </c>
      <c r="Q4" s="70" t="str">
        <f>INPUT_Stuks</f>
        <v xml:space="preserve">   st</v>
      </c>
      <c r="S4" t="str">
        <f t="shared" ref="S4:S5" si="0">AZ6</f>
        <v>Datum</v>
      </c>
      <c r="U4" s="89" t="str">
        <f ca="1">BB6</f>
        <v xml:space="preserve">         /         / 2019</v>
      </c>
      <c r="V4" s="89"/>
      <c r="W4" s="89"/>
      <c r="X4" s="89"/>
      <c r="AA4" s="39">
        <f>B4</f>
        <v>1.8</v>
      </c>
      <c r="AB4" s="41">
        <f>LOOKUP( Help!C24 - N($AH$4), Help!$J$24:$J$30, Help!$K$24:$K$30 )</f>
        <v>0</v>
      </c>
      <c r="AC4" s="42">
        <f>LOOKUP( Help!D24 - N($AH$4), Help!$J$24:$J$30, Help!$K$24:$K$30 )</f>
        <v>0</v>
      </c>
      <c r="AD4" s="42">
        <f>LOOKUP( Help!E24 - N($AH$4), Help!$J$24:$J$30, Help!$K$24:$K$30 )</f>
        <v>0</v>
      </c>
      <c r="AE4" s="42">
        <f>LOOKUP( Help!F24 - N($AH$4), Help!$J$24:$J$30, Help!$K$24:$K$30 )</f>
        <v>0</v>
      </c>
      <c r="AF4" s="42">
        <f>LOOKUP( Help!G24 - N($AH$4), Help!$J$24:$J$30, Help!$K$24:$K$30 )</f>
        <v>0</v>
      </c>
      <c r="AG4" s="43">
        <f>LOOKUP( Help!H24 - N($AH$4), Help!$J$24:$J$30, Help!$K$24:$K$30 )</f>
        <v>0</v>
      </c>
      <c r="AH4" s="70" t="str">
        <f>INPUT_Stuks</f>
        <v xml:space="preserve">   st</v>
      </c>
      <c r="AJ4" s="41">
        <f>LOOKUP( Help!C24 - N($AP$4), Help!$J$24:$J$30, Help!$K$24:$K$30 )</f>
        <v>0</v>
      </c>
      <c r="AK4" s="42">
        <f>LOOKUP( Help!D24 - N($AP$4), Help!$J$24:$J$30, Help!$K$24:$K$30 )</f>
        <v>0</v>
      </c>
      <c r="AL4" s="42">
        <f>LOOKUP( Help!E24 - N($AP$4), Help!$J$24:$J$30, Help!$K$24:$K$30 )</f>
        <v>0</v>
      </c>
      <c r="AM4" s="42">
        <f>LOOKUP( Help!F24 - N($AP$4), Help!$J$24:$J$30, Help!$K$24:$K$30 )</f>
        <v>0</v>
      </c>
      <c r="AN4" s="42">
        <f>LOOKUP( Help!G24 - N($AP$4), Help!$J$24:$J$30, Help!$K$24:$K$30 )</f>
        <v>0</v>
      </c>
      <c r="AO4" s="43">
        <f>LOOKUP( Help!H24 - N($AP$4), Help!$J$24:$J$30, Help!$K$24:$K$30 )</f>
        <v>0</v>
      </c>
      <c r="AP4" s="70" t="str">
        <f>INPUT_Stuks</f>
        <v xml:space="preserve">   st</v>
      </c>
      <c r="AR4" t="str">
        <f t="shared" ref="AR4:AR5" si="1">AZ6</f>
        <v>Datum</v>
      </c>
      <c r="AT4" s="89" t="str">
        <f ca="1">BB6</f>
        <v xml:space="preserve">         /         / 2019</v>
      </c>
      <c r="AU4" s="89"/>
      <c r="AV4" s="89"/>
      <c r="AW4" s="89"/>
      <c r="AZ4" s="15" t="s">
        <v>18</v>
      </c>
    </row>
    <row r="5" spans="1:63" x14ac:dyDescent="0.2">
      <c r="B5" s="1" t="s">
        <v>29</v>
      </c>
      <c r="C5" s="44">
        <f>LOOKUP( Help!C25 - N($I$4), Help!$J$24:$J$30, Help!$K$24:$K$30 )</f>
        <v>0</v>
      </c>
      <c r="D5" s="45">
        <f>LOOKUP( Help!D25 - N($I$4), Help!$J$24:$J$30, Help!$K$24:$K$30 )</f>
        <v>0</v>
      </c>
      <c r="E5" s="45">
        <f>LOOKUP( Help!E25 - N($I$4), Help!$J$24:$J$30, Help!$K$24:$K$30 )</f>
        <v>0</v>
      </c>
      <c r="F5" s="45">
        <f>LOOKUP( Help!F25 - N($I$4), Help!$J$24:$J$30, Help!$K$24:$K$30 )</f>
        <v>0</v>
      </c>
      <c r="G5" s="45">
        <f>LOOKUP( Help!G25 - N($I$4), Help!$J$24:$J$30, Help!$K$24:$K$30 )</f>
        <v>0</v>
      </c>
      <c r="H5" s="46">
        <f>LOOKUP( Help!H25 - N($I$4), Help!$J$24:$J$30, Help!$K$24:$K$30 )</f>
        <v>0</v>
      </c>
      <c r="K5" s="44">
        <f>LOOKUP( Help!C25 - N($Q$4), Help!$J$24:$J$30, Help!$K$24:$K$30 )</f>
        <v>0</v>
      </c>
      <c r="L5" s="45">
        <f>LOOKUP( Help!D25 - N($Q$4), Help!$J$24:$J$30, Help!$K$24:$K$30 )</f>
        <v>0</v>
      </c>
      <c r="M5" s="45">
        <f>LOOKUP( Help!E25 - N($Q$4), Help!$J$24:$J$30, Help!$K$24:$K$30 )</f>
        <v>0</v>
      </c>
      <c r="N5" s="45">
        <f>LOOKUP( Help!F25 - N($Q$4), Help!$J$24:$J$30, Help!$K$24:$K$30 )</f>
        <v>0</v>
      </c>
      <c r="O5" s="45">
        <f>LOOKUP( Help!G25 - N($Q$4), Help!$J$24:$J$30, Help!$K$24:$K$30 )</f>
        <v>0</v>
      </c>
      <c r="P5" s="46">
        <f>LOOKUP( Help!H25 - N($Q$4), Help!$J$24:$J$30, Help!$K$24:$K$30 )</f>
        <v>0</v>
      </c>
      <c r="S5" t="str">
        <f t="shared" si="0"/>
        <v>Match</v>
      </c>
      <c r="U5" s="90" t="str">
        <f>BB7</f>
        <v>….....................................</v>
      </c>
      <c r="V5" s="90"/>
      <c r="W5" s="90"/>
      <c r="X5" s="90"/>
      <c r="AA5" s="1" t="str">
        <f t="shared" ref="AA5:AA9" si="2">IF( B5 &lt;&gt; "", B5, "" )</f>
        <v>Pils, Cola</v>
      </c>
      <c r="AB5" s="44">
        <f>LOOKUP( Help!C25 - N($AH$4), Help!$J$24:$J$30, Help!$K$24:$K$30 )</f>
        <v>0</v>
      </c>
      <c r="AC5" s="45">
        <f>LOOKUP( Help!D25 - N($AH$4), Help!$J$24:$J$30, Help!$K$24:$K$30 )</f>
        <v>0</v>
      </c>
      <c r="AD5" s="45">
        <f>LOOKUP( Help!E25 - N($AH$4), Help!$J$24:$J$30, Help!$K$24:$K$30 )</f>
        <v>0</v>
      </c>
      <c r="AE5" s="45">
        <f>LOOKUP( Help!F25 - N($AH$4), Help!$J$24:$J$30, Help!$K$24:$K$30 )</f>
        <v>0</v>
      </c>
      <c r="AF5" s="45">
        <f>LOOKUP( Help!G25 - N($AH$4), Help!$J$24:$J$30, Help!$K$24:$K$30 )</f>
        <v>0</v>
      </c>
      <c r="AG5" s="46">
        <f>LOOKUP( Help!H25 - N($AH$4), Help!$J$24:$J$30, Help!$K$24:$K$30 )</f>
        <v>0</v>
      </c>
      <c r="AJ5" s="44">
        <f>LOOKUP( Help!C25 - N($AP$4), Help!$J$24:$J$30, Help!$K$24:$K$30 )</f>
        <v>0</v>
      </c>
      <c r="AK5" s="45">
        <f>LOOKUP( Help!D25 - N($AP$4), Help!$J$24:$J$30, Help!$K$24:$K$30 )</f>
        <v>0</v>
      </c>
      <c r="AL5" s="45">
        <f>LOOKUP( Help!E25 - N($AP$4), Help!$J$24:$J$30, Help!$K$24:$K$30 )</f>
        <v>0</v>
      </c>
      <c r="AM5" s="45">
        <f>LOOKUP( Help!F25 - N($AP$4), Help!$J$24:$J$30, Help!$K$24:$K$30 )</f>
        <v>0</v>
      </c>
      <c r="AN5" s="45">
        <f>LOOKUP( Help!G25 - N($AP$4), Help!$J$24:$J$30, Help!$K$24:$K$30 )</f>
        <v>0</v>
      </c>
      <c r="AO5" s="46">
        <f>LOOKUP( Help!H25 - N($AP$4), Help!$J$24:$J$30, Help!$K$24:$K$30 )</f>
        <v>0</v>
      </c>
      <c r="AR5" t="str">
        <f t="shared" si="1"/>
        <v>Match</v>
      </c>
      <c r="AT5" s="90" t="str">
        <f>BB7</f>
        <v>….....................................</v>
      </c>
      <c r="AU5" s="90"/>
      <c r="AV5" s="90"/>
      <c r="AW5" s="90"/>
      <c r="BF5" s="93" t="str">
        <f>AZ9</f>
        <v>Kassa beginstand</v>
      </c>
      <c r="BG5" s="93"/>
      <c r="BJ5" s="93" t="str">
        <f>AZ10</f>
        <v>Kassa eindstand</v>
      </c>
      <c r="BK5" s="93"/>
    </row>
    <row r="6" spans="1:63" x14ac:dyDescent="0.2">
      <c r="B6" s="1" t="s">
        <v>31</v>
      </c>
      <c r="C6" s="44">
        <f>LOOKUP( Help!C26 - N($I$4), Help!$J$24:$J$30, Help!$K$24:$K$30 )</f>
        <v>0</v>
      </c>
      <c r="D6" s="45">
        <f>LOOKUP( Help!D26 - N($I$4), Help!$J$24:$J$30, Help!$K$24:$K$30 )</f>
        <v>0</v>
      </c>
      <c r="E6" s="45">
        <f>LOOKUP( Help!E26 - N($I$4), Help!$J$24:$J$30, Help!$K$24:$K$30 )</f>
        <v>0</v>
      </c>
      <c r="F6" s="45">
        <f>LOOKUP( Help!F26 - N($I$4), Help!$J$24:$J$30, Help!$K$24:$K$30 )</f>
        <v>0</v>
      </c>
      <c r="G6" s="45">
        <f>LOOKUP( Help!G26 - N($I$4), Help!$J$24:$J$30, Help!$K$24:$K$30 )</f>
        <v>0</v>
      </c>
      <c r="H6" s="46">
        <f>LOOKUP( Help!H26 - N($I$4), Help!$J$24:$J$30, Help!$K$24:$K$30 )</f>
        <v>0</v>
      </c>
      <c r="K6" s="44">
        <f>LOOKUP( Help!C26 - N($Q$4), Help!$J$24:$J$30, Help!$K$24:$K$30 )</f>
        <v>0</v>
      </c>
      <c r="L6" s="45">
        <f>LOOKUP( Help!D26 - N($Q$4), Help!$J$24:$J$30, Help!$K$24:$K$30 )</f>
        <v>0</v>
      </c>
      <c r="M6" s="45">
        <f>LOOKUP( Help!E26 - N($Q$4), Help!$J$24:$J$30, Help!$K$24:$K$30 )</f>
        <v>0</v>
      </c>
      <c r="N6" s="45">
        <f>LOOKUP( Help!F26 - N($Q$4), Help!$J$24:$J$30, Help!$K$24:$K$30 )</f>
        <v>0</v>
      </c>
      <c r="O6" s="45">
        <f>LOOKUP( Help!G26 - N($Q$4), Help!$J$24:$J$30, Help!$K$24:$K$30 )</f>
        <v>0</v>
      </c>
      <c r="P6" s="46">
        <f>LOOKUP( Help!H26 - N($Q$4), Help!$J$24:$J$30, Help!$K$24:$K$30 )</f>
        <v>0</v>
      </c>
      <c r="AA6" s="1" t="str">
        <f t="shared" si="2"/>
        <v>Sprite, Fanta</v>
      </c>
      <c r="AB6" s="44">
        <f>LOOKUP( Help!C26 - N($AH$4), Help!$J$24:$J$30, Help!$K$24:$K$30 )</f>
        <v>0</v>
      </c>
      <c r="AC6" s="45">
        <f>LOOKUP( Help!D26 - N($AH$4), Help!$J$24:$J$30, Help!$K$24:$K$30 )</f>
        <v>0</v>
      </c>
      <c r="AD6" s="45">
        <f>LOOKUP( Help!E26 - N($AH$4), Help!$J$24:$J$30, Help!$K$24:$K$30 )</f>
        <v>0</v>
      </c>
      <c r="AE6" s="45">
        <f>LOOKUP( Help!F26 - N($AH$4), Help!$J$24:$J$30, Help!$K$24:$K$30 )</f>
        <v>0</v>
      </c>
      <c r="AF6" s="45">
        <f>LOOKUP( Help!G26 - N($AH$4), Help!$J$24:$J$30, Help!$K$24:$K$30 )</f>
        <v>0</v>
      </c>
      <c r="AG6" s="46">
        <f>LOOKUP( Help!H26 - N($AH$4), Help!$J$24:$J$30, Help!$K$24:$K$30 )</f>
        <v>0</v>
      </c>
      <c r="AJ6" s="44">
        <f>LOOKUP( Help!C26 - N($AP$4), Help!$J$24:$J$30, Help!$K$24:$K$30 )</f>
        <v>0</v>
      </c>
      <c r="AK6" s="45">
        <f>LOOKUP( Help!D26 - N($AP$4), Help!$J$24:$J$30, Help!$K$24:$K$30 )</f>
        <v>0</v>
      </c>
      <c r="AL6" s="45">
        <f>LOOKUP( Help!E26 - N($AP$4), Help!$J$24:$J$30, Help!$K$24:$K$30 )</f>
        <v>0</v>
      </c>
      <c r="AM6" s="45">
        <f>LOOKUP( Help!F26 - N($AP$4), Help!$J$24:$J$30, Help!$K$24:$K$30 )</f>
        <v>0</v>
      </c>
      <c r="AN6" s="45">
        <f>LOOKUP( Help!G26 - N($AP$4), Help!$J$24:$J$30, Help!$K$24:$K$30 )</f>
        <v>0</v>
      </c>
      <c r="AO6" s="46">
        <f>LOOKUP( Help!H26 - N($AP$4), Help!$J$24:$J$30, Help!$K$24:$K$30 )</f>
        <v>0</v>
      </c>
      <c r="AZ6" s="6" t="s">
        <v>7</v>
      </c>
      <c r="BB6" s="79" t="str">
        <f ca="1">INPUT_Datum</f>
        <v xml:space="preserve">         /         / 2019</v>
      </c>
      <c r="BF6" s="93"/>
      <c r="BG6" s="93"/>
      <c r="BJ6" s="93"/>
      <c r="BK6" s="93"/>
    </row>
    <row r="7" spans="1:63" ht="12.75" thickBot="1" x14ac:dyDescent="0.25">
      <c r="B7" s="1" t="s">
        <v>30</v>
      </c>
      <c r="C7" s="44">
        <f>LOOKUP( Help!C27 - N($I$4), Help!$J$24:$J$30, Help!$K$24:$K$30 )</f>
        <v>0</v>
      </c>
      <c r="D7" s="45">
        <f>LOOKUP( Help!D27 - N($I$4), Help!$J$24:$J$30, Help!$K$24:$K$30 )</f>
        <v>0</v>
      </c>
      <c r="E7" s="45">
        <f>LOOKUP( Help!E27 - N($I$4), Help!$J$24:$J$30, Help!$K$24:$K$30 )</f>
        <v>0</v>
      </c>
      <c r="F7" s="45">
        <f>LOOKUP( Help!F27 - N($I$4), Help!$J$24:$J$30, Help!$K$24:$K$30 )</f>
        <v>0</v>
      </c>
      <c r="G7" s="45">
        <f>LOOKUP( Help!G27 - N($I$4), Help!$J$24:$J$30, Help!$K$24:$K$30 )</f>
        <v>0</v>
      </c>
      <c r="H7" s="46">
        <f>LOOKUP( Help!H27 - N($I$4), Help!$J$24:$J$30, Help!$K$24:$K$30 )</f>
        <v>0</v>
      </c>
      <c r="K7" s="44">
        <f>LOOKUP( Help!C27 - N($Q$4), Help!$J$24:$J$30, Help!$K$24:$K$30 )</f>
        <v>0</v>
      </c>
      <c r="L7" s="45">
        <f>LOOKUP( Help!D27 - N($Q$4), Help!$J$24:$J$30, Help!$K$24:$K$30 )</f>
        <v>0</v>
      </c>
      <c r="M7" s="45">
        <f>LOOKUP( Help!E27 - N($Q$4), Help!$J$24:$J$30, Help!$K$24:$K$30 )</f>
        <v>0</v>
      </c>
      <c r="N7" s="45">
        <f>LOOKUP( Help!F27 - N($Q$4), Help!$J$24:$J$30, Help!$K$24:$K$30 )</f>
        <v>0</v>
      </c>
      <c r="O7" s="45">
        <f>LOOKUP( Help!G27 - N($Q$4), Help!$J$24:$J$30, Help!$K$24:$K$30 )</f>
        <v>0</v>
      </c>
      <c r="P7" s="46">
        <f>LOOKUP( Help!H27 - N($Q$4), Help!$J$24:$J$30, Help!$K$24:$K$30 )</f>
        <v>0</v>
      </c>
      <c r="AA7" s="1" t="str">
        <f t="shared" si="2"/>
        <v>Water, Gini</v>
      </c>
      <c r="AB7" s="44">
        <f>LOOKUP( Help!C27 - N($AH$4), Help!$J$24:$J$30, Help!$K$24:$K$30 )</f>
        <v>0</v>
      </c>
      <c r="AC7" s="45">
        <f>LOOKUP( Help!D27 - N($AH$4), Help!$J$24:$J$30, Help!$K$24:$K$30 )</f>
        <v>0</v>
      </c>
      <c r="AD7" s="45">
        <f>LOOKUP( Help!E27 - N($AH$4), Help!$J$24:$J$30, Help!$K$24:$K$30 )</f>
        <v>0</v>
      </c>
      <c r="AE7" s="45">
        <f>LOOKUP( Help!F27 - N($AH$4), Help!$J$24:$J$30, Help!$K$24:$K$30 )</f>
        <v>0</v>
      </c>
      <c r="AF7" s="45">
        <f>LOOKUP( Help!G27 - N($AH$4), Help!$J$24:$J$30, Help!$K$24:$K$30 )</f>
        <v>0</v>
      </c>
      <c r="AG7" s="46">
        <f>LOOKUP( Help!H27 - N($AH$4), Help!$J$24:$J$30, Help!$K$24:$K$30 )</f>
        <v>0</v>
      </c>
      <c r="AJ7" s="44">
        <f>LOOKUP( Help!C27 - N($AP$4), Help!$J$24:$J$30, Help!$K$24:$K$30 )</f>
        <v>0</v>
      </c>
      <c r="AK7" s="45">
        <f>LOOKUP( Help!D27 - N($AP$4), Help!$J$24:$J$30, Help!$K$24:$K$30 )</f>
        <v>0</v>
      </c>
      <c r="AL7" s="45">
        <f>LOOKUP( Help!E27 - N($AP$4), Help!$J$24:$J$30, Help!$K$24:$K$30 )</f>
        <v>0</v>
      </c>
      <c r="AM7" s="45">
        <f>LOOKUP( Help!F27 - N($AP$4), Help!$J$24:$J$30, Help!$K$24:$K$30 )</f>
        <v>0</v>
      </c>
      <c r="AN7" s="45">
        <f>LOOKUP( Help!G27 - N($AP$4), Help!$J$24:$J$30, Help!$K$24:$K$30 )</f>
        <v>0</v>
      </c>
      <c r="AO7" s="46">
        <f>LOOKUP( Help!H27 - N($AP$4), Help!$J$24:$J$30, Help!$K$24:$K$30 )</f>
        <v>0</v>
      </c>
      <c r="AW7" s="12"/>
      <c r="AZ7" s="6" t="s">
        <v>8</v>
      </c>
      <c r="BB7" s="76" t="str">
        <f>INPUT_Lange_Tekst</f>
        <v>….....................................</v>
      </c>
      <c r="BF7" s="4" t="s">
        <v>14</v>
      </c>
      <c r="BG7" s="4" t="s">
        <v>15</v>
      </c>
      <c r="BJ7" s="4" t="s">
        <v>14</v>
      </c>
      <c r="BK7" s="4" t="s">
        <v>15</v>
      </c>
    </row>
    <row r="8" spans="1:63" ht="12.75" thickBot="1" x14ac:dyDescent="0.25">
      <c r="B8" s="1" t="s">
        <v>32</v>
      </c>
      <c r="C8" s="44">
        <f>LOOKUP( Help!C28 - N($I$4), Help!$J$24:$J$30, Help!$K$24:$K$30 )</f>
        <v>0</v>
      </c>
      <c r="D8" s="45">
        <f>LOOKUP( Help!D28 - N($I$4), Help!$J$24:$J$30, Help!$K$24:$K$30 )</f>
        <v>0</v>
      </c>
      <c r="E8" s="45">
        <f>LOOKUP( Help!E28 - N($I$4), Help!$J$24:$J$30, Help!$K$24:$K$30 )</f>
        <v>0</v>
      </c>
      <c r="F8" s="45">
        <f>LOOKUP( Help!F28 - N($I$4), Help!$J$24:$J$30, Help!$K$24:$K$30 )</f>
        <v>0</v>
      </c>
      <c r="G8" s="45">
        <f>LOOKUP( Help!G28 - N($I$4), Help!$J$24:$J$30, Help!$K$24:$K$30 )</f>
        <v>0</v>
      </c>
      <c r="H8" s="46">
        <f>LOOKUP( Help!H28 - N($I$4), Help!$J$24:$J$30, Help!$K$24:$K$30 )</f>
        <v>0</v>
      </c>
      <c r="I8" s="66" t="str">
        <f>IF( COUNTIF( C4:H9, "&gt;0" ) &gt; 0, SUM( C4:H9 ), INPUT_Stuks )</f>
        <v xml:space="preserve">   st</v>
      </c>
      <c r="K8" s="44">
        <f>LOOKUP( Help!C28 - N($Q$4), Help!$J$24:$J$30, Help!$K$24:$K$30 )</f>
        <v>0</v>
      </c>
      <c r="L8" s="45">
        <f>LOOKUP( Help!D28 - N($Q$4), Help!$J$24:$J$30, Help!$K$24:$K$30 )</f>
        <v>0</v>
      </c>
      <c r="M8" s="45">
        <f>LOOKUP( Help!E28 - N($Q$4), Help!$J$24:$J$30, Help!$K$24:$K$30 )</f>
        <v>0</v>
      </c>
      <c r="N8" s="45">
        <f>LOOKUP( Help!F28 - N($Q$4), Help!$J$24:$J$30, Help!$K$24:$K$30 )</f>
        <v>0</v>
      </c>
      <c r="O8" s="45">
        <f>LOOKUP( Help!G28 - N($Q$4), Help!$J$24:$J$30, Help!$K$24:$K$30 )</f>
        <v>0</v>
      </c>
      <c r="P8" s="46">
        <f>LOOKUP( Help!H28 - N($Q$4), Help!$J$24:$J$30, Help!$K$24:$K$30 )</f>
        <v>0</v>
      </c>
      <c r="Q8" s="67" t="str">
        <f>IF( COUNTIF( K4:P9, "&gt;0" ) &gt; 0, SUM( K4:P9 ), INPUT_Stuks )</f>
        <v xml:space="preserve">   st</v>
      </c>
      <c r="S8" s="94" t="s">
        <v>3</v>
      </c>
      <c r="T8" s="94"/>
      <c r="U8" s="94"/>
      <c r="V8" s="94"/>
      <c r="W8" s="94"/>
      <c r="X8" s="94"/>
      <c r="AA8" s="1" t="str">
        <f t="shared" si="2"/>
        <v>Koffie, T, Soep</v>
      </c>
      <c r="AB8" s="44">
        <f>LOOKUP( Help!C28 - N($AH$4), Help!$J$24:$J$30, Help!$K$24:$K$30 )</f>
        <v>0</v>
      </c>
      <c r="AC8" s="45">
        <f>LOOKUP( Help!D28 - N($AH$4), Help!$J$24:$J$30, Help!$K$24:$K$30 )</f>
        <v>0</v>
      </c>
      <c r="AD8" s="45">
        <f>LOOKUP( Help!E28 - N($AH$4), Help!$J$24:$J$30, Help!$K$24:$K$30 )</f>
        <v>0</v>
      </c>
      <c r="AE8" s="45">
        <f>LOOKUP( Help!F28 - N($AH$4), Help!$J$24:$J$30, Help!$K$24:$K$30 )</f>
        <v>0</v>
      </c>
      <c r="AF8" s="45">
        <f>LOOKUP( Help!G28 - N($AH$4), Help!$J$24:$J$30, Help!$K$24:$K$30 )</f>
        <v>0</v>
      </c>
      <c r="AG8" s="46">
        <f>LOOKUP( Help!H28 - N($AH$4), Help!$J$24:$J$30, Help!$K$24:$K$30 )</f>
        <v>0</v>
      </c>
      <c r="AH8" s="67" t="str">
        <f>IF( COUNTIF( AB4:AG9, "&gt;0" ) &gt; 0, SUM( AB4:AG9 ), INPUT_Stuks )</f>
        <v xml:space="preserve">   st</v>
      </c>
      <c r="AJ8" s="44">
        <f>LOOKUP( Help!C28 - N($AP$4), Help!$J$24:$J$30, Help!$K$24:$K$30 )</f>
        <v>0</v>
      </c>
      <c r="AK8" s="45">
        <f>LOOKUP( Help!D28 - N($AP$4), Help!$J$24:$J$30, Help!$K$24:$K$30 )</f>
        <v>0</v>
      </c>
      <c r="AL8" s="45">
        <f>LOOKUP( Help!E28 - N($AP$4), Help!$J$24:$J$30, Help!$K$24:$K$30 )</f>
        <v>0</v>
      </c>
      <c r="AM8" s="45">
        <f>LOOKUP( Help!F28 - N($AP$4), Help!$J$24:$J$30, Help!$K$24:$K$30 )</f>
        <v>0</v>
      </c>
      <c r="AN8" s="45">
        <f>LOOKUP( Help!G28 - N($AP$4), Help!$J$24:$J$30, Help!$K$24:$K$30 )</f>
        <v>0</v>
      </c>
      <c r="AO8" s="46">
        <f>LOOKUP( Help!H28 - N($AP$4), Help!$J$24:$J$30, Help!$K$24:$K$30 )</f>
        <v>0</v>
      </c>
      <c r="AP8" s="67" t="str">
        <f>IF( COUNTIF( AJ4:AO9, "&gt;0" ) &gt; 0, SUM( AJ4:AO9 ), INPUT_Stuks )</f>
        <v xml:space="preserve">   st</v>
      </c>
      <c r="AR8" s="94" t="str">
        <f>S8</f>
        <v>Direct betaald</v>
      </c>
      <c r="AS8" s="94"/>
      <c r="AT8" s="94"/>
      <c r="AU8" s="94"/>
      <c r="AV8" s="94"/>
      <c r="AW8" s="94"/>
      <c r="BE8" s="13">
        <v>100</v>
      </c>
      <c r="BF8" s="60" t="str">
        <f t="shared" ref="BF8:BF12" si="3">INPUT_Stuks</f>
        <v xml:space="preserve">   st</v>
      </c>
      <c r="BG8" s="61" t="str">
        <f>IF( ISNUMBER( BF8 ), BE8 * BF8, INPUT_Kort_Bedrag )</f>
        <v xml:space="preserve">   €</v>
      </c>
      <c r="BI8" s="13">
        <v>100</v>
      </c>
      <c r="BJ8" s="60" t="str">
        <f t="shared" ref="BJ8:BJ12" si="4">INPUT_Stuks</f>
        <v xml:space="preserve">   st</v>
      </c>
      <c r="BK8" s="62" t="str">
        <f t="shared" ref="BK8:BK12" si="5">IF( ISNUMBER( BJ8 ), BI8 * BJ8, INPUT_Kort_Bedrag )</f>
        <v xml:space="preserve">   €</v>
      </c>
    </row>
    <row r="9" spans="1:63" ht="12.75" thickBot="1" x14ac:dyDescent="0.25">
      <c r="B9" s="3" t="s">
        <v>33</v>
      </c>
      <c r="C9" s="47">
        <f>LOOKUP( Help!C29 - N($I$4), Help!$J$24:$J$30, Help!$K$24:$K$30 )</f>
        <v>0</v>
      </c>
      <c r="D9" s="48">
        <f>LOOKUP( Help!D29 - N($I$4), Help!$J$24:$J$30, Help!$K$24:$K$30 )</f>
        <v>0</v>
      </c>
      <c r="E9" s="48">
        <f>LOOKUP( Help!E29 - N($I$4), Help!$J$24:$J$30, Help!$K$24:$K$30 )</f>
        <v>0</v>
      </c>
      <c r="F9" s="48">
        <f>LOOKUP( Help!F29 - N($I$4), Help!$J$24:$J$30, Help!$K$24:$K$30 )</f>
        <v>0</v>
      </c>
      <c r="G9" s="48">
        <f>LOOKUP( Help!G29 - N($I$4), Help!$J$24:$J$30, Help!$K$24:$K$30 )</f>
        <v>0</v>
      </c>
      <c r="H9" s="49">
        <f>LOOKUP( Help!H29 - N($I$4), Help!$J$24:$J$30, Help!$K$24:$K$30 )</f>
        <v>0</v>
      </c>
      <c r="I9" s="69" t="str">
        <f>IF( COUNTIF( C4:H9, "&gt;0" ) &gt; 0, $B4 * I8, INPUT_Kort_Bedrag )</f>
        <v xml:space="preserve">   €</v>
      </c>
      <c r="K9" s="47">
        <f>LOOKUP( Help!C29 - N($Q$4), Help!$J$24:$J$30, Help!$K$24:$K$30 )</f>
        <v>0</v>
      </c>
      <c r="L9" s="48">
        <f>LOOKUP( Help!D29 - N($Q$4), Help!$J$24:$J$30, Help!$K$24:$K$30 )</f>
        <v>0</v>
      </c>
      <c r="M9" s="48">
        <f>LOOKUP( Help!E29 - N($Q$4), Help!$J$24:$J$30, Help!$K$24:$K$30 )</f>
        <v>0</v>
      </c>
      <c r="N9" s="48">
        <f>LOOKUP( Help!F29 - N($Q$4), Help!$J$24:$J$30, Help!$K$24:$K$30 )</f>
        <v>0</v>
      </c>
      <c r="O9" s="48">
        <f>LOOKUP( Help!G29 - N($Q$4), Help!$J$24:$J$30, Help!$K$24:$K$30 )</f>
        <v>0</v>
      </c>
      <c r="P9" s="49">
        <f>LOOKUP( Help!H29 - N($Q$4), Help!$J$24:$J$30, Help!$K$24:$K$30 )</f>
        <v>0</v>
      </c>
      <c r="Q9" s="68" t="str">
        <f>IF( COUNTIF( K4:P9, "&gt;0" ) &gt; 0, $B4 * Q8, INPUT_Kort_Bedrag )</f>
        <v xml:space="preserve">   €</v>
      </c>
      <c r="AA9" s="3" t="str">
        <f t="shared" si="2"/>
        <v>Choco, Chips</v>
      </c>
      <c r="AB9" s="47">
        <f>LOOKUP( Help!C29 - N($AH$4), Help!$J$24:$J$30, Help!$K$24:$K$30 )</f>
        <v>0</v>
      </c>
      <c r="AC9" s="48">
        <f>LOOKUP( Help!D29 - N($AH$4), Help!$J$24:$J$30, Help!$K$24:$K$30 )</f>
        <v>0</v>
      </c>
      <c r="AD9" s="48">
        <f>LOOKUP( Help!E29 - N($AH$4), Help!$J$24:$J$30, Help!$K$24:$K$30 )</f>
        <v>0</v>
      </c>
      <c r="AE9" s="48">
        <f>LOOKUP( Help!F29 - N($AH$4), Help!$J$24:$J$30, Help!$K$24:$K$30 )</f>
        <v>0</v>
      </c>
      <c r="AF9" s="48">
        <f>LOOKUP( Help!G29 - N($AH$4), Help!$J$24:$J$30, Help!$K$24:$K$30 )</f>
        <v>0</v>
      </c>
      <c r="AG9" s="49">
        <f>LOOKUP( Help!H29 - N($AH$4), Help!$J$24:$J$30, Help!$K$24:$K$30 )</f>
        <v>0</v>
      </c>
      <c r="AH9" s="68" t="str">
        <f>IF( COUNTIF( AB4:AG9, "&gt;0" ) &gt; 0, $B4 * AH8, INPUT_Kort_Bedrag )</f>
        <v xml:space="preserve">   €</v>
      </c>
      <c r="AJ9" s="47">
        <f>LOOKUP( Help!C29 - N($AP$4), Help!$J$24:$J$30, Help!$K$24:$K$30 )</f>
        <v>0</v>
      </c>
      <c r="AK9" s="48">
        <f>LOOKUP( Help!D29 - N($AP$4), Help!$J$24:$J$30, Help!$K$24:$K$30 )</f>
        <v>0</v>
      </c>
      <c r="AL9" s="48">
        <f>LOOKUP( Help!E29 - N($AP$4), Help!$J$24:$J$30, Help!$K$24:$K$30 )</f>
        <v>0</v>
      </c>
      <c r="AM9" s="48">
        <f>LOOKUP( Help!F29 - N($AP$4), Help!$J$24:$J$30, Help!$K$24:$K$30 )</f>
        <v>0</v>
      </c>
      <c r="AN9" s="48">
        <f>LOOKUP( Help!G29 - N($AP$4), Help!$J$24:$J$30, Help!$K$24:$K$30 )</f>
        <v>0</v>
      </c>
      <c r="AO9" s="49">
        <f>LOOKUP( Help!H29 - N($AP$4), Help!$J$24:$J$30, Help!$K$24:$K$30 )</f>
        <v>0</v>
      </c>
      <c r="AP9" s="68" t="str">
        <f>IF( COUNTIF( AJ4:AO9, "&gt;0" ) &gt; 0, $B4 * AP8, INPUT_Kort_Bedrag )</f>
        <v xml:space="preserve">   €</v>
      </c>
      <c r="AZ9" s="6" t="s">
        <v>4</v>
      </c>
      <c r="BB9" s="63" t="str">
        <f>IF( COUNT( BF8:BF21 ) &gt; 0, BG23, INPUT_Lang_Bedrag )</f>
        <v>….................. €</v>
      </c>
      <c r="BC9" s="8" t="s">
        <v>11</v>
      </c>
      <c r="BD9" s="8"/>
      <c r="BE9" s="13">
        <v>50</v>
      </c>
      <c r="BF9" s="60" t="str">
        <f t="shared" si="3"/>
        <v xml:space="preserve">   st</v>
      </c>
      <c r="BG9" s="62" t="str">
        <f t="shared" ref="BG9:BG12" si="6">IF( ISNUMBER( BF9 ), BE9 * BF9, INPUT_Kort_Bedrag )</f>
        <v xml:space="preserve">   €</v>
      </c>
      <c r="BI9" s="13">
        <v>50</v>
      </c>
      <c r="BJ9" s="60" t="str">
        <f t="shared" si="4"/>
        <v xml:space="preserve">   st</v>
      </c>
      <c r="BK9" s="62" t="str">
        <f t="shared" si="5"/>
        <v xml:space="preserve">   €</v>
      </c>
    </row>
    <row r="10" spans="1:63" ht="12.75" thickBot="1" x14ac:dyDescent="0.25">
      <c r="B10" s="2"/>
      <c r="C10" s="2"/>
      <c r="D10" s="2"/>
      <c r="E10" s="2"/>
      <c r="F10" s="2"/>
      <c r="G10" s="2"/>
      <c r="H10" s="2"/>
      <c r="K10" s="2"/>
      <c r="L10" s="2"/>
      <c r="M10" s="2"/>
      <c r="N10" s="2"/>
      <c r="O10" s="2"/>
      <c r="P10" s="2"/>
      <c r="S10" s="50"/>
      <c r="T10" s="51"/>
      <c r="U10" s="51"/>
      <c r="V10" s="51"/>
      <c r="W10" s="51"/>
      <c r="X10" s="52"/>
      <c r="AA10" s="2"/>
      <c r="AB10" s="2"/>
      <c r="AC10" s="2"/>
      <c r="AD10" s="2"/>
      <c r="AE10" s="2"/>
      <c r="AF10" s="2"/>
      <c r="AG10" s="2"/>
      <c r="AJ10" s="2"/>
      <c r="AK10" s="2"/>
      <c r="AL10" s="2"/>
      <c r="AM10" s="2"/>
      <c r="AN10" s="2"/>
      <c r="AO10" s="2"/>
      <c r="AR10" s="50"/>
      <c r="AS10" s="51"/>
      <c r="AT10" s="51"/>
      <c r="AU10" s="51"/>
      <c r="AV10" s="51"/>
      <c r="AW10" s="52"/>
      <c r="AZ10" s="6" t="s">
        <v>5</v>
      </c>
      <c r="BB10" s="63" t="str">
        <f>IF( COUNT( BJ8:BJ21 ) &gt; 0, BK23, INPUT_Lang_Bedrag )</f>
        <v>….................. €</v>
      </c>
      <c r="BC10" s="8" t="s">
        <v>10</v>
      </c>
      <c r="BD10" s="8"/>
      <c r="BE10" s="13">
        <v>20</v>
      </c>
      <c r="BF10" s="60" t="str">
        <f t="shared" si="3"/>
        <v xml:space="preserve">   st</v>
      </c>
      <c r="BG10" s="62" t="str">
        <f t="shared" si="6"/>
        <v xml:space="preserve">   €</v>
      </c>
      <c r="BI10" s="13">
        <v>20</v>
      </c>
      <c r="BJ10" s="60" t="str">
        <f t="shared" si="4"/>
        <v xml:space="preserve">   st</v>
      </c>
      <c r="BK10" s="62" t="str">
        <f t="shared" si="5"/>
        <v xml:space="preserve">   €</v>
      </c>
    </row>
    <row r="11" spans="1:63" x14ac:dyDescent="0.2">
      <c r="B11" s="39">
        <v>2</v>
      </c>
      <c r="C11" s="41">
        <f>LOOKUP( Help!C24 - N($I$11), Help!$J$24:$J$30, Help!$K$24:$K$30 )</f>
        <v>0</v>
      </c>
      <c r="D11" s="42">
        <f>LOOKUP( Help!D24 - N($I$11), Help!$J$24:$J$30, Help!$K$24:$K$30 )</f>
        <v>0</v>
      </c>
      <c r="E11" s="42">
        <f>LOOKUP( Help!E24 - N($I$11), Help!$J$24:$J$30, Help!$K$24:$K$30 )</f>
        <v>0</v>
      </c>
      <c r="F11" s="42">
        <f>LOOKUP( Help!F24 - N($I$11), Help!$J$24:$J$30, Help!$K$24:$K$30 )</f>
        <v>0</v>
      </c>
      <c r="G11" s="42">
        <f>LOOKUP( Help!G24 - N($I$11), Help!$J$24:$J$30, Help!$K$24:$K$30 )</f>
        <v>0</v>
      </c>
      <c r="H11" s="43">
        <f>LOOKUP( Help!H24 - N($I$11), Help!$J$24:$J$30, Help!$K$24:$K$30 )</f>
        <v>0</v>
      </c>
      <c r="I11" s="70" t="str">
        <f>INPUT_Stuks</f>
        <v xml:space="preserve">   st</v>
      </c>
      <c r="K11" s="41">
        <f>LOOKUP( Help!C24 - N($Q$11), Help!$J$24:$J$30, Help!$K$24:$K$30 )</f>
        <v>0</v>
      </c>
      <c r="L11" s="42">
        <f>LOOKUP( Help!D24 - N($Q$11), Help!$J$24:$J$30, Help!$K$24:$K$30 )</f>
        <v>0</v>
      </c>
      <c r="M11" s="42">
        <f>LOOKUP( Help!E24 - N($Q$11), Help!$J$24:$J$30, Help!$K$24:$K$30 )</f>
        <v>0</v>
      </c>
      <c r="N11" s="42">
        <f>LOOKUP( Help!F24 - N($Q$11), Help!$J$24:$J$30, Help!$K$24:$K$30 )</f>
        <v>0</v>
      </c>
      <c r="O11" s="42">
        <f>LOOKUP( Help!G24 - N($Q$11), Help!$J$24:$J$30, Help!$K$24:$K$30 )</f>
        <v>0</v>
      </c>
      <c r="P11" s="43">
        <f>LOOKUP( Help!H24 - N($Q$11), Help!$J$24:$J$30, Help!$K$24:$K$30 )</f>
        <v>0</v>
      </c>
      <c r="Q11" s="70" t="str">
        <f>INPUT_Stuks</f>
        <v xml:space="preserve">   st</v>
      </c>
      <c r="S11" s="53"/>
      <c r="T11" s="54"/>
      <c r="U11" s="54"/>
      <c r="V11" s="54"/>
      <c r="W11" s="54"/>
      <c r="X11" s="55"/>
      <c r="AA11" s="39">
        <f>B11</f>
        <v>2</v>
      </c>
      <c r="AB11" s="41">
        <f>LOOKUP( Help!C24 - N($AH$11), Help!$J$24:$J$30, Help!$K$24:$K$30 )</f>
        <v>0</v>
      </c>
      <c r="AC11" s="42">
        <f>LOOKUP( Help!D24 - N($AH$11), Help!$J$24:$J$30, Help!$K$24:$K$30 )</f>
        <v>0</v>
      </c>
      <c r="AD11" s="42">
        <f>LOOKUP( Help!E24 - N($AH$11), Help!$J$24:$J$30, Help!$K$24:$K$30 )</f>
        <v>0</v>
      </c>
      <c r="AE11" s="42">
        <f>LOOKUP( Help!F24 - N($AH$11), Help!$J$24:$J$30, Help!$K$24:$K$30 )</f>
        <v>0</v>
      </c>
      <c r="AF11" s="42">
        <f>LOOKUP( Help!G24 - N($AH$11), Help!$J$24:$J$30, Help!$K$24:$K$30 )</f>
        <v>0</v>
      </c>
      <c r="AG11" s="43">
        <f>LOOKUP( Help!H24 - N($AH$11), Help!$J$24:$J$30, Help!$K$24:$K$30 )</f>
        <v>0</v>
      </c>
      <c r="AH11" s="70" t="str">
        <f>INPUT_Stuks</f>
        <v xml:space="preserve">   st</v>
      </c>
      <c r="AJ11" s="41">
        <f>LOOKUP( Help!C24 - N($AP$11), Help!$J$24:$J$30, Help!$K$24:$K$30 )</f>
        <v>0</v>
      </c>
      <c r="AK11" s="42">
        <f>LOOKUP( Help!D24 - N($AP$11), Help!$J$24:$J$30, Help!$K$24:$K$30 )</f>
        <v>0</v>
      </c>
      <c r="AL11" s="42">
        <f>LOOKUP( Help!E24 - N($AP$11), Help!$J$24:$J$30, Help!$K$24:$K$30 )</f>
        <v>0</v>
      </c>
      <c r="AM11" s="42">
        <f>LOOKUP( Help!F24 - N($AP$11), Help!$J$24:$J$30, Help!$K$24:$K$30 )</f>
        <v>0</v>
      </c>
      <c r="AN11" s="42">
        <f>LOOKUP( Help!G24 - N($AP$11), Help!$J$24:$J$30, Help!$K$24:$K$30 )</f>
        <v>0</v>
      </c>
      <c r="AO11" s="43">
        <f>LOOKUP( Help!H24 - N($AP$11), Help!$J$24:$J$30, Help!$K$24:$K$30 )</f>
        <v>0</v>
      </c>
      <c r="AP11" s="70" t="str">
        <f>INPUT_Stuks</f>
        <v xml:space="preserve">   st</v>
      </c>
      <c r="AR11" s="53"/>
      <c r="AS11" s="54"/>
      <c r="AT11" s="54"/>
      <c r="AU11" s="54"/>
      <c r="AV11" s="54"/>
      <c r="AW11" s="55"/>
      <c r="AZ11" s="77" t="str">
        <f>AZ25</f>
        <v>Rekening De Weerdt</v>
      </c>
      <c r="BA11" s="5"/>
      <c r="BB11" s="76" t="str">
        <f>IF( COUNT( BB25 ) &gt; 0, BB25 * (BJ35 = "Neen"), INPUT_Lang_Bedrag )</f>
        <v>….................. €</v>
      </c>
      <c r="BC11" s="8" t="s">
        <v>11</v>
      </c>
      <c r="BE11" s="13">
        <v>10</v>
      </c>
      <c r="BF11" s="60" t="str">
        <f t="shared" si="3"/>
        <v xml:space="preserve">   st</v>
      </c>
      <c r="BG11" s="62" t="str">
        <f t="shared" si="6"/>
        <v xml:space="preserve">   €</v>
      </c>
      <c r="BI11" s="13">
        <v>10</v>
      </c>
      <c r="BJ11" s="60" t="str">
        <f t="shared" si="4"/>
        <v xml:space="preserve">   st</v>
      </c>
      <c r="BK11" s="62" t="str">
        <f t="shared" si="5"/>
        <v xml:space="preserve">   €</v>
      </c>
    </row>
    <row r="12" spans="1:63" ht="12.75" thickBot="1" x14ac:dyDescent="0.25">
      <c r="B12" s="1" t="s">
        <v>23</v>
      </c>
      <c r="C12" s="44">
        <f>LOOKUP( Help!C25 - N($I$11), Help!$J$24:$J$30, Help!$K$24:$K$30 )</f>
        <v>0</v>
      </c>
      <c r="D12" s="45">
        <f>LOOKUP( Help!D25 - N($I$11), Help!$J$24:$J$30, Help!$K$24:$K$30 )</f>
        <v>0</v>
      </c>
      <c r="E12" s="45">
        <f>LOOKUP( Help!E25 - N($I$11), Help!$J$24:$J$30, Help!$K$24:$K$30 )</f>
        <v>0</v>
      </c>
      <c r="F12" s="45">
        <f>LOOKUP( Help!F25 - N($I$11), Help!$J$24:$J$30, Help!$K$24:$K$30 )</f>
        <v>0</v>
      </c>
      <c r="G12" s="45">
        <f>LOOKUP( Help!G25 - N($I$11), Help!$J$24:$J$30, Help!$K$24:$K$30 )</f>
        <v>0</v>
      </c>
      <c r="H12" s="46">
        <f>LOOKUP( Help!H25 - N($I$11), Help!$J$24:$J$30, Help!$K$24:$K$30 )</f>
        <v>0</v>
      </c>
      <c r="K12" s="44">
        <f>LOOKUP( Help!C25 - N($Q$11), Help!$J$24:$J$30, Help!$K$24:$K$30 )</f>
        <v>0</v>
      </c>
      <c r="L12" s="45">
        <f>LOOKUP( Help!D25 - N($Q$11), Help!$J$24:$J$30, Help!$K$24:$K$30 )</f>
        <v>0</v>
      </c>
      <c r="M12" s="45">
        <f>LOOKUP( Help!E25 - N($Q$11), Help!$J$24:$J$30, Help!$K$24:$K$30 )</f>
        <v>0</v>
      </c>
      <c r="N12" s="45">
        <f>LOOKUP( Help!F25 - N($Q$11), Help!$J$24:$J$30, Help!$K$24:$K$30 )</f>
        <v>0</v>
      </c>
      <c r="O12" s="45">
        <f>LOOKUP( Help!G25 - N($Q$11), Help!$J$24:$J$30, Help!$K$24:$K$30 )</f>
        <v>0</v>
      </c>
      <c r="P12" s="46">
        <f>LOOKUP( Help!H25 - N($Q$11), Help!$J$24:$J$30, Help!$K$24:$K$30 )</f>
        <v>0</v>
      </c>
      <c r="S12" s="53"/>
      <c r="T12" s="54"/>
      <c r="U12" s="54"/>
      <c r="V12" s="54"/>
      <c r="W12" s="54"/>
      <c r="X12" s="55"/>
      <c r="AA12" s="1" t="str">
        <f>IF( B12 &lt;&gt; "", B12, "" )</f>
        <v>Ice Tea</v>
      </c>
      <c r="AB12" s="44">
        <f>LOOKUP( Help!C25 - N($AH$11), Help!$J$24:$J$30, Help!$K$24:$K$30 )</f>
        <v>0</v>
      </c>
      <c r="AC12" s="45">
        <f>LOOKUP( Help!D25 - N($AH$11), Help!$J$24:$J$30, Help!$K$24:$K$30 )</f>
        <v>0</v>
      </c>
      <c r="AD12" s="45">
        <f>LOOKUP( Help!E25 - N($AH$11), Help!$J$24:$J$30, Help!$K$24:$K$30 )</f>
        <v>0</v>
      </c>
      <c r="AE12" s="45">
        <f>LOOKUP( Help!F25 - N($AH$11), Help!$J$24:$J$30, Help!$K$24:$K$30 )</f>
        <v>0</v>
      </c>
      <c r="AF12" s="45">
        <f>LOOKUP( Help!G25 - N($AH$11), Help!$J$24:$J$30, Help!$K$24:$K$30 )</f>
        <v>0</v>
      </c>
      <c r="AG12" s="46">
        <f>LOOKUP( Help!H25 - N($AH$11), Help!$J$24:$J$30, Help!$K$24:$K$30 )</f>
        <v>0</v>
      </c>
      <c r="AJ12" s="44">
        <f>LOOKUP( Help!C25 - N($AP$11), Help!$J$24:$J$30, Help!$K$24:$K$30 )</f>
        <v>0</v>
      </c>
      <c r="AK12" s="45">
        <f>LOOKUP( Help!D25 - N($AP$11), Help!$J$24:$J$30, Help!$K$24:$K$30 )</f>
        <v>0</v>
      </c>
      <c r="AL12" s="45">
        <f>LOOKUP( Help!E25 - N($AP$11), Help!$J$24:$J$30, Help!$K$24:$K$30 )</f>
        <v>0</v>
      </c>
      <c r="AM12" s="45">
        <f>LOOKUP( Help!F25 - N($AP$11), Help!$J$24:$J$30, Help!$K$24:$K$30 )</f>
        <v>0</v>
      </c>
      <c r="AN12" s="45">
        <f>LOOKUP( Help!G25 - N($AP$11), Help!$J$24:$J$30, Help!$K$24:$K$30 )</f>
        <v>0</v>
      </c>
      <c r="AO12" s="46">
        <f>LOOKUP( Help!H25 - N($AP$11), Help!$J$24:$J$30, Help!$K$24:$K$30 )</f>
        <v>0</v>
      </c>
      <c r="AR12" s="53"/>
      <c r="AS12" s="54"/>
      <c r="AT12" s="54"/>
      <c r="AU12" s="54"/>
      <c r="AV12" s="54"/>
      <c r="AW12" s="55"/>
      <c r="AZ12" s="9" t="s">
        <v>16</v>
      </c>
      <c r="BA12" s="7"/>
      <c r="BB12" s="65" t="str">
        <f>IF( AND( COUNT( BB9:BB11 ) &gt; 0, COUNT( BF8:BF21 ) &gt; 0, COUNT( BJ8:BJ21 ) &gt; 0 ), SUM( BB10 ) - SUM( BB9 ) - SUM( BB11 ), INPUT_Lang_Bedrag )</f>
        <v>….................. €</v>
      </c>
      <c r="BE12" s="13">
        <v>5</v>
      </c>
      <c r="BF12" s="60" t="str">
        <f t="shared" si="3"/>
        <v xml:space="preserve">   st</v>
      </c>
      <c r="BG12" s="62" t="str">
        <f t="shared" si="6"/>
        <v xml:space="preserve">   €</v>
      </c>
      <c r="BI12" s="13">
        <v>5</v>
      </c>
      <c r="BJ12" s="60" t="str">
        <f t="shared" si="4"/>
        <v xml:space="preserve">   st</v>
      </c>
      <c r="BK12" s="62" t="str">
        <f t="shared" si="5"/>
        <v xml:space="preserve">   €</v>
      </c>
    </row>
    <row r="13" spans="1:63" ht="12.75" thickBot="1" x14ac:dyDescent="0.25">
      <c r="B13" s="1" t="s">
        <v>28</v>
      </c>
      <c r="C13" s="44">
        <f>LOOKUP( Help!C26 - N($I$11), Help!$J$24:$J$30, Help!$K$24:$K$30 )</f>
        <v>0</v>
      </c>
      <c r="D13" s="45">
        <f>LOOKUP( Help!D26 - N($I$11), Help!$J$24:$J$30, Help!$K$24:$K$30 )</f>
        <v>0</v>
      </c>
      <c r="E13" s="45">
        <f>LOOKUP( Help!E26 - N($I$11), Help!$J$24:$J$30, Help!$K$24:$K$30 )</f>
        <v>0</v>
      </c>
      <c r="F13" s="45">
        <f>LOOKUP( Help!F26 - N($I$11), Help!$J$24:$J$30, Help!$K$24:$K$30 )</f>
        <v>0</v>
      </c>
      <c r="G13" s="45">
        <f>LOOKUP( Help!G26 - N($I$11), Help!$J$24:$J$30, Help!$K$24:$K$30 )</f>
        <v>0</v>
      </c>
      <c r="H13" s="46">
        <f>LOOKUP( Help!H26 - N($I$11), Help!$J$24:$J$30, Help!$K$24:$K$30 )</f>
        <v>0</v>
      </c>
      <c r="I13" s="67" t="str">
        <f>IF( COUNTIF( C11:H14, "&gt;0" ) &gt; 0, SUM( C11:H14 ), INPUT_Stuks )</f>
        <v xml:space="preserve">   st</v>
      </c>
      <c r="K13" s="44">
        <f>LOOKUP( Help!C26 - N($Q$11), Help!$J$24:$J$30, Help!$K$24:$K$30 )</f>
        <v>0</v>
      </c>
      <c r="L13" s="45">
        <f>LOOKUP( Help!D26 - N($Q$11), Help!$J$24:$J$30, Help!$K$24:$K$30 )</f>
        <v>0</v>
      </c>
      <c r="M13" s="45">
        <f>LOOKUP( Help!E26 - N($Q$11), Help!$J$24:$J$30, Help!$K$24:$K$30 )</f>
        <v>0</v>
      </c>
      <c r="N13" s="45">
        <f>LOOKUP( Help!F26 - N($Q$11), Help!$J$24:$J$30, Help!$K$24:$K$30 )</f>
        <v>0</v>
      </c>
      <c r="O13" s="45">
        <f>LOOKUP( Help!G26 - N($Q$11), Help!$J$24:$J$30, Help!$K$24:$K$30 )</f>
        <v>0</v>
      </c>
      <c r="P13" s="46">
        <f>LOOKUP( Help!H26 - N($Q$11), Help!$J$24:$J$30, Help!$K$24:$K$30 )</f>
        <v>0</v>
      </c>
      <c r="Q13" s="67" t="str">
        <f>IF( COUNTIF( K11:P14, "&gt;0" ) &gt; 0, SUM( K11:P14 ), INPUT_Stuks )</f>
        <v xml:space="preserve">   st</v>
      </c>
      <c r="S13" s="53"/>
      <c r="T13" s="54"/>
      <c r="U13" s="54"/>
      <c r="V13" s="54"/>
      <c r="W13" s="54"/>
      <c r="X13" s="55"/>
      <c r="AA13" s="1" t="str">
        <f>IF( B13 &lt;&gt; "", B13, "" )</f>
        <v>Aquarius, AA</v>
      </c>
      <c r="AB13" s="44">
        <f>LOOKUP( Help!C26 - N($AH$11), Help!$J$24:$J$30, Help!$K$24:$K$30 )</f>
        <v>0</v>
      </c>
      <c r="AC13" s="45">
        <f>LOOKUP( Help!D26 - N($AH$11), Help!$J$24:$J$30, Help!$K$24:$K$30 )</f>
        <v>0</v>
      </c>
      <c r="AD13" s="45">
        <f>LOOKUP( Help!E26 - N($AH$11), Help!$J$24:$J$30, Help!$K$24:$K$30 )</f>
        <v>0</v>
      </c>
      <c r="AE13" s="45">
        <f>LOOKUP( Help!F26 - N($AH$11), Help!$J$24:$J$30, Help!$K$24:$K$30 )</f>
        <v>0</v>
      </c>
      <c r="AF13" s="45">
        <f>LOOKUP( Help!G26 - N($AH$11), Help!$J$24:$J$30, Help!$K$24:$K$30 )</f>
        <v>0</v>
      </c>
      <c r="AG13" s="46">
        <f>LOOKUP( Help!H26 - N($AH$11), Help!$J$24:$J$30, Help!$K$24:$K$30 )</f>
        <v>0</v>
      </c>
      <c r="AH13" s="67" t="str">
        <f>IF( COUNTIF( AB11:AG14, "&gt;0" ) &gt; 0, SUM( AB11:AG14 ), INPUT_Stuks )</f>
        <v xml:space="preserve">   st</v>
      </c>
      <c r="AJ13" s="44">
        <f>LOOKUP( Help!C26 - N($AP$11), Help!$J$24:$J$30, Help!$K$24:$K$30 )</f>
        <v>0</v>
      </c>
      <c r="AK13" s="45">
        <f>LOOKUP( Help!D26 - N($AP$11), Help!$J$24:$J$30, Help!$K$24:$K$30 )</f>
        <v>0</v>
      </c>
      <c r="AL13" s="45">
        <f>LOOKUP( Help!E26 - N($AP$11), Help!$J$24:$J$30, Help!$K$24:$K$30 )</f>
        <v>0</v>
      </c>
      <c r="AM13" s="45">
        <f>LOOKUP( Help!F26 - N($AP$11), Help!$J$24:$J$30, Help!$K$24:$K$30 )</f>
        <v>0</v>
      </c>
      <c r="AN13" s="45">
        <f>LOOKUP( Help!G26 - N($AP$11), Help!$J$24:$J$30, Help!$K$24:$K$30 )</f>
        <v>0</v>
      </c>
      <c r="AO13" s="46">
        <f>LOOKUP( Help!H26 - N($AP$11), Help!$J$24:$J$30, Help!$K$24:$K$30 )</f>
        <v>0</v>
      </c>
      <c r="AP13" s="67" t="str">
        <f>IF( COUNTIF( AJ11:AO14, "&gt;0" ) &gt; 0, SUM( AJ11:AO14 ), INPUT_Stuks )</f>
        <v xml:space="preserve">   st</v>
      </c>
      <c r="AR13" s="53"/>
      <c r="AS13" s="54"/>
      <c r="AT13" s="54"/>
      <c r="AU13" s="54"/>
      <c r="AV13" s="54"/>
      <c r="AW13" s="55"/>
      <c r="BE13" s="13"/>
      <c r="BI13" s="13"/>
    </row>
    <row r="14" spans="1:63" ht="12.75" thickBot="1" x14ac:dyDescent="0.25">
      <c r="B14" s="3" t="s">
        <v>24</v>
      </c>
      <c r="C14" s="47">
        <f>LOOKUP( Help!C27 - N($I$11), Help!$J$24:$J$30, Help!$K$24:$K$30 )</f>
        <v>0</v>
      </c>
      <c r="D14" s="48">
        <f>LOOKUP( Help!D27 - N($I$11), Help!$J$24:$J$30, Help!$K$24:$K$30 )</f>
        <v>0</v>
      </c>
      <c r="E14" s="48">
        <f>LOOKUP( Help!E27 - N($I$11), Help!$J$24:$J$30, Help!$K$24:$K$30 )</f>
        <v>0</v>
      </c>
      <c r="F14" s="48">
        <f>LOOKUP( Help!F27 - N($I$11), Help!$J$24:$J$30, Help!$K$24:$K$30 )</f>
        <v>0</v>
      </c>
      <c r="G14" s="48">
        <f>LOOKUP( Help!G27 - N($I$11), Help!$J$24:$J$30, Help!$K$24:$K$30 )</f>
        <v>0</v>
      </c>
      <c r="H14" s="49">
        <f>LOOKUP( Help!H27 - N($I$11), Help!$J$24:$J$30, Help!$K$24:$K$30 )</f>
        <v>0</v>
      </c>
      <c r="I14" s="68" t="str">
        <f>IF( COUNTIF( C11:H14, "&gt;0" ) &gt; 0, $B11 * I13, INPUT_Kort_Bedrag )</f>
        <v xml:space="preserve">   €</v>
      </c>
      <c r="K14" s="47">
        <f>LOOKUP( Help!C27 - N($Q$11), Help!$J$24:$J$30, Help!$K$24:$K$30 )</f>
        <v>0</v>
      </c>
      <c r="L14" s="48">
        <f>LOOKUP( Help!D27 - N($Q$11), Help!$J$24:$J$30, Help!$K$24:$K$30 )</f>
        <v>0</v>
      </c>
      <c r="M14" s="48">
        <f>LOOKUP( Help!E27 - N($Q$11), Help!$J$24:$J$30, Help!$K$24:$K$30 )</f>
        <v>0</v>
      </c>
      <c r="N14" s="48">
        <f>LOOKUP( Help!F27 - N($Q$11), Help!$J$24:$J$30, Help!$K$24:$K$30 )</f>
        <v>0</v>
      </c>
      <c r="O14" s="48">
        <f>LOOKUP( Help!G27 - N($Q$11), Help!$J$24:$J$30, Help!$K$24:$K$30 )</f>
        <v>0</v>
      </c>
      <c r="P14" s="49">
        <f>LOOKUP( Help!H27 - N($Q$11), Help!$J$24:$J$30, Help!$K$24:$K$30 )</f>
        <v>0</v>
      </c>
      <c r="Q14" s="68" t="str">
        <f>IF( COUNTIF( K11:P14, "&gt;0" ) &gt; 0, $B11 * Q13, INPUT_Kort_Bedrag )</f>
        <v xml:space="preserve">   €</v>
      </c>
      <c r="S14" s="53"/>
      <c r="T14" s="54"/>
      <c r="U14" s="54"/>
      <c r="V14" s="54"/>
      <c r="W14" s="54"/>
      <c r="X14" s="55"/>
      <c r="AA14" s="3" t="str">
        <f>IF( B14 &lt;&gt; "", B14, "" )</f>
        <v>Palm, Kriek</v>
      </c>
      <c r="AB14" s="47">
        <f>LOOKUP( Help!C27 - N($AH$11), Help!$J$24:$J$30, Help!$K$24:$K$30 )</f>
        <v>0</v>
      </c>
      <c r="AC14" s="48">
        <f>LOOKUP( Help!D27 - N($AH$11), Help!$J$24:$J$30, Help!$K$24:$K$30 )</f>
        <v>0</v>
      </c>
      <c r="AD14" s="48">
        <f>LOOKUP( Help!E27 - N($AH$11), Help!$J$24:$J$30, Help!$K$24:$K$30 )</f>
        <v>0</v>
      </c>
      <c r="AE14" s="48">
        <f>LOOKUP( Help!F27 - N($AH$11), Help!$J$24:$J$30, Help!$K$24:$K$30 )</f>
        <v>0</v>
      </c>
      <c r="AF14" s="48">
        <f>LOOKUP( Help!G27 - N($AH$11), Help!$J$24:$J$30, Help!$K$24:$K$30 )</f>
        <v>0</v>
      </c>
      <c r="AG14" s="49">
        <f>LOOKUP( Help!H27 - N($AH$11), Help!$J$24:$J$30, Help!$K$24:$K$30 )</f>
        <v>0</v>
      </c>
      <c r="AH14" s="68" t="str">
        <f>IF( COUNTIF( AB11:AG14, "&gt;0" ) &gt; 0, $B11 * AH13, INPUT_Kort_Bedrag )</f>
        <v xml:space="preserve">   €</v>
      </c>
      <c r="AJ14" s="47">
        <f>LOOKUP( Help!C27 - N($AP$11), Help!$J$24:$J$30, Help!$K$24:$K$30 )</f>
        <v>0</v>
      </c>
      <c r="AK14" s="48">
        <f>LOOKUP( Help!D27 - N($AP$11), Help!$J$24:$J$30, Help!$K$24:$K$30 )</f>
        <v>0</v>
      </c>
      <c r="AL14" s="48">
        <f>LOOKUP( Help!E27 - N($AP$11), Help!$J$24:$J$30, Help!$K$24:$K$30 )</f>
        <v>0</v>
      </c>
      <c r="AM14" s="48">
        <f>LOOKUP( Help!F27 - N($AP$11), Help!$J$24:$J$30, Help!$K$24:$K$30 )</f>
        <v>0</v>
      </c>
      <c r="AN14" s="48">
        <f>LOOKUP( Help!G27 - N($AP$11), Help!$J$24:$J$30, Help!$K$24:$K$30 )</f>
        <v>0</v>
      </c>
      <c r="AO14" s="49">
        <f>LOOKUP( Help!H27 - N($AP$11), Help!$J$24:$J$30, Help!$K$24:$K$30 )</f>
        <v>0</v>
      </c>
      <c r="AP14" s="68" t="str">
        <f>IF( COUNTIF( AJ11:AO14, "&gt;0" ) &gt; 0, $B11 * AP13, INPUT_Kort_Bedrag )</f>
        <v xml:space="preserve">   €</v>
      </c>
      <c r="AR14" s="53"/>
      <c r="AS14" s="54"/>
      <c r="AT14" s="54"/>
      <c r="AU14" s="54"/>
      <c r="AV14" s="54"/>
      <c r="AW14" s="55"/>
      <c r="AZ14" s="6" t="s">
        <v>9</v>
      </c>
      <c r="BB14" s="80" t="str">
        <f>INPUT_Lang_Bedrag</f>
        <v>….................. €</v>
      </c>
      <c r="BC14" s="8" t="s">
        <v>10</v>
      </c>
      <c r="BD14" s="8"/>
      <c r="BE14" s="13">
        <v>2</v>
      </c>
      <c r="BF14" s="60" t="str">
        <f t="shared" ref="BF14:BF21" si="7">INPUT_Stuks</f>
        <v xml:space="preserve">   st</v>
      </c>
      <c r="BG14" s="62" t="str">
        <f t="shared" ref="BG14:BG21" si="8">IF( ISNUMBER( BF14 ), BE14 * BF14, INPUT_Kort_Bedrag )</f>
        <v xml:space="preserve">   €</v>
      </c>
      <c r="BI14" s="13">
        <v>2</v>
      </c>
      <c r="BJ14" s="60" t="str">
        <f t="shared" ref="BJ14:BJ21" si="9">INPUT_Stuks</f>
        <v xml:space="preserve">   st</v>
      </c>
      <c r="BK14" s="62" t="str">
        <f t="shared" ref="BK14:BK21" si="10">IF( ISNUMBER( BJ14 ), BI14 * BJ14, INPUT_Kort_Bedrag )</f>
        <v xml:space="preserve">   €</v>
      </c>
    </row>
    <row r="15" spans="1:63" ht="12.75" thickBot="1" x14ac:dyDescent="0.25">
      <c r="B15" s="2"/>
      <c r="C15" s="2"/>
      <c r="D15" s="2"/>
      <c r="E15" s="2"/>
      <c r="F15" s="2"/>
      <c r="G15" s="2"/>
      <c r="H15" s="2"/>
      <c r="K15" s="2"/>
      <c r="L15" s="2"/>
      <c r="M15" s="2"/>
      <c r="N15" s="2"/>
      <c r="O15" s="2"/>
      <c r="P15" s="2"/>
      <c r="S15" s="53"/>
      <c r="T15" s="54"/>
      <c r="U15" s="54"/>
      <c r="V15" s="54"/>
      <c r="W15" s="54"/>
      <c r="X15" s="55"/>
      <c r="AA15" s="2"/>
      <c r="AB15" s="2"/>
      <c r="AC15" s="2"/>
      <c r="AD15" s="2"/>
      <c r="AE15" s="2"/>
      <c r="AF15" s="2"/>
      <c r="AG15" s="2"/>
      <c r="AJ15" s="2"/>
      <c r="AK15" s="2"/>
      <c r="AL15" s="2"/>
      <c r="AM15" s="2"/>
      <c r="AN15" s="2"/>
      <c r="AO15" s="2"/>
      <c r="AR15" s="53"/>
      <c r="AS15" s="54"/>
      <c r="AT15" s="54"/>
      <c r="AU15" s="54"/>
      <c r="AV15" s="54"/>
      <c r="AW15" s="55"/>
      <c r="AZ15" s="6" t="s">
        <v>6</v>
      </c>
      <c r="BB15" s="64" t="str">
        <f>IF( ISNUMBER( BB31 ), SUM( BB31 ), INPUT_Lang_Bedrag )</f>
        <v>….................. €</v>
      </c>
      <c r="BC15" s="8" t="s">
        <v>10</v>
      </c>
      <c r="BD15" s="8"/>
      <c r="BE15" s="13">
        <v>1</v>
      </c>
      <c r="BF15" s="60" t="str">
        <f t="shared" si="7"/>
        <v xml:space="preserve">   st</v>
      </c>
      <c r="BG15" s="62" t="str">
        <f t="shared" si="8"/>
        <v xml:space="preserve">   €</v>
      </c>
      <c r="BI15" s="13">
        <v>1</v>
      </c>
      <c r="BJ15" s="60" t="str">
        <f t="shared" si="9"/>
        <v xml:space="preserve">   st</v>
      </c>
      <c r="BK15" s="62" t="str">
        <f t="shared" si="10"/>
        <v xml:space="preserve">   €</v>
      </c>
    </row>
    <row r="16" spans="1:63" ht="12.75" thickBot="1" x14ac:dyDescent="0.25">
      <c r="B16" s="39">
        <v>2.5</v>
      </c>
      <c r="C16" s="41">
        <f>LOOKUP( Help!C24 - N($I$16), Help!$J$24:$J$30, Help!$K$24:$K$30 )</f>
        <v>0</v>
      </c>
      <c r="D16" s="42">
        <f>LOOKUP( Help!D24 - N($I$16), Help!$J$24:$J$30, Help!$K$24:$K$30 )</f>
        <v>0</v>
      </c>
      <c r="E16" s="42">
        <f>LOOKUP( Help!E24 - N($I$16), Help!$J$24:$J$30, Help!$K$24:$K$30 )</f>
        <v>0</v>
      </c>
      <c r="F16" s="42">
        <f>LOOKUP( Help!F24 - N($I$16), Help!$J$24:$J$30, Help!$K$24:$K$30 )</f>
        <v>0</v>
      </c>
      <c r="G16" s="42">
        <f>LOOKUP( Help!G24 - N($I$16), Help!$J$24:$J$30, Help!$K$24:$K$30 )</f>
        <v>0</v>
      </c>
      <c r="H16" s="43">
        <f>LOOKUP( Help!H24 - N($I$16), Help!$J$24:$J$30, Help!$K$24:$K$30 )</f>
        <v>0</v>
      </c>
      <c r="I16" s="70" t="str">
        <f>INPUT_Stuks</f>
        <v xml:space="preserve">   st</v>
      </c>
      <c r="K16" s="41">
        <f>LOOKUP( Help!C24 - N($Q$16), Help!$J$24:$J$30, Help!$K$24:$K$30 )</f>
        <v>0</v>
      </c>
      <c r="L16" s="42">
        <f>LOOKUP( Help!D24 - N($Q$16), Help!$J$24:$J$30, Help!$K$24:$K$30 )</f>
        <v>0</v>
      </c>
      <c r="M16" s="42">
        <f>LOOKUP( Help!E24 - N($Q$16), Help!$J$24:$J$30, Help!$K$24:$K$30 )</f>
        <v>0</v>
      </c>
      <c r="N16" s="42">
        <f>LOOKUP( Help!F24 - N($Q$16), Help!$J$24:$J$30, Help!$K$24:$K$30 )</f>
        <v>0</v>
      </c>
      <c r="O16" s="42">
        <f>LOOKUP( Help!G24 - N($Q$16), Help!$J$24:$J$30, Help!$K$24:$K$30 )</f>
        <v>0</v>
      </c>
      <c r="P16" s="43">
        <f>LOOKUP( Help!H24 - N($Q$16), Help!$J$24:$J$30, Help!$K$24:$K$30 )</f>
        <v>0</v>
      </c>
      <c r="Q16" s="70" t="str">
        <f>INPUT_Stuks</f>
        <v xml:space="preserve">   st</v>
      </c>
      <c r="S16" s="53"/>
      <c r="T16" s="54"/>
      <c r="U16" s="54"/>
      <c r="V16" s="54"/>
      <c r="W16" s="54"/>
      <c r="X16" s="55"/>
      <c r="AA16" s="39">
        <f>B16</f>
        <v>2.5</v>
      </c>
      <c r="AB16" s="41">
        <f>LOOKUP( Help!C24 - N($AH$16), Help!$J$24:$J$30, Help!$K$24:$K$30 )</f>
        <v>0</v>
      </c>
      <c r="AC16" s="42">
        <f>LOOKUP( Help!D24 - N($AH$16), Help!$J$24:$J$30, Help!$K$24:$K$30 )</f>
        <v>0</v>
      </c>
      <c r="AD16" s="42">
        <f>LOOKUP( Help!E24 - N($AH$16), Help!$J$24:$J$30, Help!$K$24:$K$30 )</f>
        <v>0</v>
      </c>
      <c r="AE16" s="42">
        <f>LOOKUP( Help!F24 - N($AH$16), Help!$J$24:$J$30, Help!$K$24:$K$30 )</f>
        <v>0</v>
      </c>
      <c r="AF16" s="42">
        <f>LOOKUP( Help!G24 - N($AH$16), Help!$J$24:$J$30, Help!$K$24:$K$30 )</f>
        <v>0</v>
      </c>
      <c r="AG16" s="43">
        <f>LOOKUP( Help!H24 - N($AH$16), Help!$J$24:$J$30, Help!$K$24:$K$30 )</f>
        <v>0</v>
      </c>
      <c r="AH16" s="70" t="str">
        <f>INPUT_Stuks</f>
        <v xml:space="preserve">   st</v>
      </c>
      <c r="AJ16" s="41">
        <f>LOOKUP( Help!C24 - N($AP$16), Help!$J$24:$J$30, Help!$K$24:$K$30 )</f>
        <v>0</v>
      </c>
      <c r="AK16" s="42">
        <f>LOOKUP( Help!D24 - N($AP$16), Help!$J$24:$J$30, Help!$K$24:$K$30 )</f>
        <v>0</v>
      </c>
      <c r="AL16" s="42">
        <f>LOOKUP( Help!E24 - N($AP$16), Help!$J$24:$J$30, Help!$K$24:$K$30 )</f>
        <v>0</v>
      </c>
      <c r="AM16" s="42">
        <f>LOOKUP( Help!F24 - N($AP$16), Help!$J$24:$J$30, Help!$K$24:$K$30 )</f>
        <v>0</v>
      </c>
      <c r="AN16" s="42">
        <f>LOOKUP( Help!G24 - N($AP$16), Help!$J$24:$J$30, Help!$K$24:$K$30 )</f>
        <v>0</v>
      </c>
      <c r="AO16" s="43">
        <f>LOOKUP( Help!H24 - N($AP$16), Help!$J$24:$J$30, Help!$K$24:$K$30 )</f>
        <v>0</v>
      </c>
      <c r="AP16" s="70" t="str">
        <f>INPUT_Stuks</f>
        <v xml:space="preserve">   st</v>
      </c>
      <c r="AR16" s="53"/>
      <c r="AS16" s="54"/>
      <c r="AT16" s="54"/>
      <c r="AU16" s="54"/>
      <c r="AV16" s="54"/>
      <c r="AW16" s="55"/>
      <c r="AZ16" s="6" t="s">
        <v>20</v>
      </c>
      <c r="BB16" s="64" t="str">
        <f>IF( ISNUMBER( BB15 ), 0.25 * BB15, INPUT_Lang_Bedrag )</f>
        <v>….................. €</v>
      </c>
      <c r="BC16" s="8" t="s">
        <v>11</v>
      </c>
      <c r="BD16" s="8"/>
      <c r="BE16" s="13">
        <v>0.5</v>
      </c>
      <c r="BF16" s="60" t="str">
        <f t="shared" si="7"/>
        <v xml:space="preserve">   st</v>
      </c>
      <c r="BG16" s="62" t="str">
        <f t="shared" si="8"/>
        <v xml:space="preserve">   €</v>
      </c>
      <c r="BI16" s="13">
        <v>0.5</v>
      </c>
      <c r="BJ16" s="60" t="str">
        <f t="shared" si="9"/>
        <v xml:space="preserve">   st</v>
      </c>
      <c r="BK16" s="62" t="str">
        <f t="shared" si="10"/>
        <v xml:space="preserve">   €</v>
      </c>
    </row>
    <row r="17" spans="2:63" ht="12.75" thickBot="1" x14ac:dyDescent="0.25">
      <c r="B17" s="1" t="s">
        <v>22</v>
      </c>
      <c r="C17" s="44">
        <f>LOOKUP( Help!C25 - N($I$16), Help!$J$24:$J$30, Help!$K$24:$K$30 )</f>
        <v>0</v>
      </c>
      <c r="D17" s="45">
        <f>LOOKUP( Help!D25 - N($I$16), Help!$J$24:$J$30, Help!$K$24:$K$30 )</f>
        <v>0</v>
      </c>
      <c r="E17" s="45">
        <f>LOOKUP( Help!E25 - N($I$16), Help!$J$24:$J$30, Help!$K$24:$K$30 )</f>
        <v>0</v>
      </c>
      <c r="F17" s="45">
        <f>LOOKUP( Help!F25 - N($I$16), Help!$J$24:$J$30, Help!$K$24:$K$30 )</f>
        <v>0</v>
      </c>
      <c r="G17" s="45">
        <f>LOOKUP( Help!G25 - N($I$16), Help!$J$24:$J$30, Help!$K$24:$K$30 )</f>
        <v>0</v>
      </c>
      <c r="H17" s="46">
        <f>LOOKUP( Help!H25 - N($I$16), Help!$J$24:$J$30, Help!$K$24:$K$30 )</f>
        <v>0</v>
      </c>
      <c r="I17" s="67" t="str">
        <f>IF( COUNTIF( C16:H18, "&gt;0" ) &gt; 0, SUM( C16:H18 ), INPUT_Stuks )</f>
        <v xml:space="preserve">   st</v>
      </c>
      <c r="K17" s="44">
        <f>LOOKUP( Help!C25 - N($Q$16), Help!$J$24:$J$30, Help!$K$24:$K$30 )</f>
        <v>0</v>
      </c>
      <c r="L17" s="45">
        <f>LOOKUP( Help!D25 - N($Q$16), Help!$J$24:$J$30, Help!$K$24:$K$30 )</f>
        <v>0</v>
      </c>
      <c r="M17" s="45">
        <f>LOOKUP( Help!E25 - N($Q$16), Help!$J$24:$J$30, Help!$K$24:$K$30 )</f>
        <v>0</v>
      </c>
      <c r="N17" s="45">
        <f>LOOKUP( Help!F25 - N($Q$16), Help!$J$24:$J$30, Help!$K$24:$K$30 )</f>
        <v>0</v>
      </c>
      <c r="O17" s="45">
        <f>LOOKUP( Help!G25 - N($Q$16), Help!$J$24:$J$30, Help!$K$24:$K$30 )</f>
        <v>0</v>
      </c>
      <c r="P17" s="46">
        <f>LOOKUP( Help!H25 - N($Q$16), Help!$J$24:$J$30, Help!$K$24:$K$30 )</f>
        <v>0</v>
      </c>
      <c r="Q17" s="67" t="str">
        <f>IF( COUNTIF( K16:P18, "&gt;0" ) &gt; 0, SUM( K16:P18 ), INPUT_Stuks )</f>
        <v xml:space="preserve">   st</v>
      </c>
      <c r="S17" s="53"/>
      <c r="T17" s="54"/>
      <c r="U17" s="54"/>
      <c r="V17" s="54"/>
      <c r="W17" s="54"/>
      <c r="X17" s="55"/>
      <c r="AA17" s="1" t="str">
        <f>IF( B17 &lt;&gt; "", B17, "" )</f>
        <v>Leffe</v>
      </c>
      <c r="AB17" s="44">
        <f>LOOKUP( Help!C25 - N($AH$16), Help!$J$24:$J$30, Help!$K$24:$K$30 )</f>
        <v>0</v>
      </c>
      <c r="AC17" s="45">
        <f>LOOKUP( Help!D25 - N($AH$16), Help!$J$24:$J$30, Help!$K$24:$K$30 )</f>
        <v>0</v>
      </c>
      <c r="AD17" s="45">
        <f>LOOKUP( Help!E25 - N($AH$16), Help!$J$24:$J$30, Help!$K$24:$K$30 )</f>
        <v>0</v>
      </c>
      <c r="AE17" s="45">
        <f>LOOKUP( Help!F25 - N($AH$16), Help!$J$24:$J$30, Help!$K$24:$K$30 )</f>
        <v>0</v>
      </c>
      <c r="AF17" s="45">
        <f>LOOKUP( Help!G25 - N($AH$16), Help!$J$24:$J$30, Help!$K$24:$K$30 )</f>
        <v>0</v>
      </c>
      <c r="AG17" s="46">
        <f>LOOKUP( Help!H25 - N($AH$16), Help!$J$24:$J$30, Help!$K$24:$K$30 )</f>
        <v>0</v>
      </c>
      <c r="AH17" s="67" t="str">
        <f>IF( COUNTIF( AB16:AG18, "&gt;0" ) &gt; 0, SUM( AB16:AG18 ), INPUT_Stuks )</f>
        <v xml:space="preserve">   st</v>
      </c>
      <c r="AJ17" s="44">
        <f>LOOKUP( Help!C25 - N($AP$16), Help!$J$24:$J$30, Help!$K$24:$K$30 )</f>
        <v>0</v>
      </c>
      <c r="AK17" s="45">
        <f>LOOKUP( Help!D25 - N($AP$16), Help!$J$24:$J$30, Help!$K$24:$K$30 )</f>
        <v>0</v>
      </c>
      <c r="AL17" s="45">
        <f>LOOKUP( Help!E25 - N($AP$16), Help!$J$24:$J$30, Help!$K$24:$K$30 )</f>
        <v>0</v>
      </c>
      <c r="AM17" s="45">
        <f>LOOKUP( Help!F25 - N($AP$16), Help!$J$24:$J$30, Help!$K$24:$K$30 )</f>
        <v>0</v>
      </c>
      <c r="AN17" s="45">
        <f>LOOKUP( Help!G25 - N($AP$16), Help!$J$24:$J$30, Help!$K$24:$K$30 )</f>
        <v>0</v>
      </c>
      <c r="AO17" s="46">
        <f>LOOKUP( Help!H25 - N($AP$16), Help!$J$24:$J$30, Help!$K$24:$K$30 )</f>
        <v>0</v>
      </c>
      <c r="AP17" s="67" t="str">
        <f>IF( COUNTIF( AJ16:AO18, "&gt;0" ) &gt; 0, SUM( AJ16:AO18 ), INPUT_Stuks )</f>
        <v xml:space="preserve">   st</v>
      </c>
      <c r="AR17" s="53"/>
      <c r="AS17" s="54"/>
      <c r="AT17" s="54"/>
      <c r="AU17" s="54"/>
      <c r="AV17" s="54"/>
      <c r="AW17" s="55"/>
      <c r="AZ17" s="6" t="s">
        <v>13</v>
      </c>
      <c r="BB17" s="76" t="str">
        <f>INPUT_Lang_Bedrag</f>
        <v>….................. €</v>
      </c>
      <c r="BC17" s="8" t="s">
        <v>10</v>
      </c>
      <c r="BD17" s="8"/>
      <c r="BE17" s="13">
        <v>0.2</v>
      </c>
      <c r="BF17" s="60" t="str">
        <f t="shared" si="7"/>
        <v xml:space="preserve">   st</v>
      </c>
      <c r="BG17" s="62" t="str">
        <f t="shared" si="8"/>
        <v xml:space="preserve">   €</v>
      </c>
      <c r="BI17" s="13">
        <v>0.2</v>
      </c>
      <c r="BJ17" s="60" t="str">
        <f t="shared" si="9"/>
        <v xml:space="preserve">   st</v>
      </c>
      <c r="BK17" s="62" t="str">
        <f t="shared" si="10"/>
        <v xml:space="preserve">   €</v>
      </c>
    </row>
    <row r="18" spans="2:63" ht="12.75" thickBot="1" x14ac:dyDescent="0.25">
      <c r="B18" s="3" t="s">
        <v>1</v>
      </c>
      <c r="C18" s="47">
        <f>LOOKUP( Help!C26 - N($I$16), Help!$J$24:$J$30, Help!$K$24:$K$30 )</f>
        <v>0</v>
      </c>
      <c r="D18" s="48">
        <f>LOOKUP( Help!D26 - N($I$16), Help!$J$24:$J$30, Help!$K$24:$K$30 )</f>
        <v>0</v>
      </c>
      <c r="E18" s="48">
        <f>LOOKUP( Help!E26 - N($I$16), Help!$J$24:$J$30, Help!$K$24:$K$30 )</f>
        <v>0</v>
      </c>
      <c r="F18" s="48">
        <f>LOOKUP( Help!F26 - N($I$16), Help!$J$24:$J$30, Help!$K$24:$K$30 )</f>
        <v>0</v>
      </c>
      <c r="G18" s="48">
        <f>LOOKUP( Help!G26 - N($I$16), Help!$J$24:$J$30, Help!$K$24:$K$30 )</f>
        <v>0</v>
      </c>
      <c r="H18" s="49">
        <f>LOOKUP( Help!H26 - N($I$16), Help!$J$24:$J$30, Help!$K$24:$K$30 )</f>
        <v>0</v>
      </c>
      <c r="I18" s="68" t="str">
        <f>IF( COUNTIF( C16:H18, "&gt;0" ) &gt; 0, $B16 * I17, INPUT_Kort_Bedrag )</f>
        <v xml:space="preserve">   €</v>
      </c>
      <c r="K18" s="47">
        <f>LOOKUP( Help!C26 - N($Q$16), Help!$J$24:$J$30, Help!$K$24:$K$30 )</f>
        <v>0</v>
      </c>
      <c r="L18" s="48">
        <f>LOOKUP( Help!D26 - N($Q$16), Help!$J$24:$J$30, Help!$K$24:$K$30 )</f>
        <v>0</v>
      </c>
      <c r="M18" s="48">
        <f>LOOKUP( Help!E26 - N($Q$16), Help!$J$24:$J$30, Help!$K$24:$K$30 )</f>
        <v>0</v>
      </c>
      <c r="N18" s="48">
        <f>LOOKUP( Help!F26 - N($Q$16), Help!$J$24:$J$30, Help!$K$24:$K$30 )</f>
        <v>0</v>
      </c>
      <c r="O18" s="48">
        <f>LOOKUP( Help!G26 - N($Q$16), Help!$J$24:$J$30, Help!$K$24:$K$30 )</f>
        <v>0</v>
      </c>
      <c r="P18" s="49">
        <f>LOOKUP( Help!H26 - N($Q$16), Help!$J$24:$J$30, Help!$K$24:$K$30 )</f>
        <v>0</v>
      </c>
      <c r="Q18" s="68" t="str">
        <f>IF( COUNTIF( K16:P18, "&gt;0" ) &gt; 0, $B16 * Q17, INPUT_Kort_Bedrag )</f>
        <v xml:space="preserve">   €</v>
      </c>
      <c r="S18" s="53"/>
      <c r="T18" s="54"/>
      <c r="U18" s="54"/>
      <c r="V18" s="54"/>
      <c r="W18" s="54"/>
      <c r="X18" s="55"/>
      <c r="AA18" s="3" t="str">
        <f>IF( B18 &lt;&gt; "", B18, "" )</f>
        <v>Duvel</v>
      </c>
      <c r="AB18" s="47">
        <f>LOOKUP( Help!C26 - N($AH$16), Help!$J$24:$J$30, Help!$K$24:$K$30 )</f>
        <v>0</v>
      </c>
      <c r="AC18" s="48">
        <f>LOOKUP( Help!D26 - N($AH$16), Help!$J$24:$J$30, Help!$K$24:$K$30 )</f>
        <v>0</v>
      </c>
      <c r="AD18" s="48">
        <f>LOOKUP( Help!E26 - N($AH$16), Help!$J$24:$J$30, Help!$K$24:$K$30 )</f>
        <v>0</v>
      </c>
      <c r="AE18" s="48">
        <f>LOOKUP( Help!F26 - N($AH$16), Help!$J$24:$J$30, Help!$K$24:$K$30 )</f>
        <v>0</v>
      </c>
      <c r="AF18" s="48">
        <f>LOOKUP( Help!G26 - N($AH$16), Help!$J$24:$J$30, Help!$K$24:$K$30 )</f>
        <v>0</v>
      </c>
      <c r="AG18" s="49">
        <f>LOOKUP( Help!H26 - N($AH$16), Help!$J$24:$J$30, Help!$K$24:$K$30 )</f>
        <v>0</v>
      </c>
      <c r="AH18" s="68" t="str">
        <f>IF( COUNTIF( AB16:AG18, "&gt;0" ) &gt; 0, $B16 * AH17, INPUT_Kort_Bedrag )</f>
        <v xml:space="preserve">   €</v>
      </c>
      <c r="AJ18" s="47">
        <f>LOOKUP( Help!C26 - N($AP$16), Help!$J$24:$J$30, Help!$K$24:$K$30 )</f>
        <v>0</v>
      </c>
      <c r="AK18" s="48">
        <f>LOOKUP( Help!D26 - N($AP$16), Help!$J$24:$J$30, Help!$K$24:$K$30 )</f>
        <v>0</v>
      </c>
      <c r="AL18" s="48">
        <f>LOOKUP( Help!E26 - N($AP$16), Help!$J$24:$J$30, Help!$K$24:$K$30 )</f>
        <v>0</v>
      </c>
      <c r="AM18" s="48">
        <f>LOOKUP( Help!F26 - N($AP$16), Help!$J$24:$J$30, Help!$K$24:$K$30 )</f>
        <v>0</v>
      </c>
      <c r="AN18" s="48">
        <f>LOOKUP( Help!G26 - N($AP$16), Help!$J$24:$J$30, Help!$K$24:$K$30 )</f>
        <v>0</v>
      </c>
      <c r="AO18" s="49">
        <f>LOOKUP( Help!H26 - N($AP$16), Help!$J$24:$J$30, Help!$K$24:$K$30 )</f>
        <v>0</v>
      </c>
      <c r="AP18" s="68" t="str">
        <f>IF( COUNTIF( AJ16:AO18, "&gt;0" ) &gt; 0, $B16 * AP17, INPUT_Kort_Bedrag )</f>
        <v xml:space="preserve">   €</v>
      </c>
      <c r="AR18" s="53"/>
      <c r="AS18" s="54"/>
      <c r="AT18" s="54"/>
      <c r="AU18" s="54"/>
      <c r="AV18" s="54"/>
      <c r="AW18" s="55"/>
      <c r="AZ18" s="6" t="s">
        <v>40</v>
      </c>
      <c r="BB18" s="76" t="str">
        <f>INPUT_Lang_Bedrag</f>
        <v>….................. €</v>
      </c>
      <c r="BC18" s="8" t="s">
        <v>10</v>
      </c>
      <c r="BE18" s="13">
        <v>0.1</v>
      </c>
      <c r="BF18" s="60" t="str">
        <f t="shared" si="7"/>
        <v xml:space="preserve">   st</v>
      </c>
      <c r="BG18" s="62" t="str">
        <f t="shared" si="8"/>
        <v xml:space="preserve">   €</v>
      </c>
      <c r="BI18" s="13">
        <v>0.1</v>
      </c>
      <c r="BJ18" s="60" t="str">
        <f t="shared" si="9"/>
        <v xml:space="preserve">   st</v>
      </c>
      <c r="BK18" s="62" t="str">
        <f t="shared" si="10"/>
        <v xml:space="preserve">   €</v>
      </c>
    </row>
    <row r="19" spans="2:63" ht="12.75" thickBot="1" x14ac:dyDescent="0.25">
      <c r="S19" s="53"/>
      <c r="T19" s="54"/>
      <c r="U19" s="54"/>
      <c r="V19" s="54"/>
      <c r="W19" s="54"/>
      <c r="X19" s="55"/>
      <c r="AR19" s="53"/>
      <c r="AS19" s="54"/>
      <c r="AT19" s="54"/>
      <c r="AU19" s="54"/>
      <c r="AV19" s="54"/>
      <c r="AW19" s="55"/>
      <c r="AZ19" s="9" t="str">
        <f>"Aan " &amp; INPUT_Eigenaar &amp; " betalen"</f>
        <v>Aan De Weerdt betalen</v>
      </c>
      <c r="BA19" s="7"/>
      <c r="BB19" s="65" t="str">
        <f>IF( COUNT( BB15:BB18 ) &gt; 0, SUM( BB14 ) + SUM( BB15 ) - SUM( BB16 ) + SUM( BB17 ) + SUM( BB18 ), INPUT_Lang_Bedrag )</f>
        <v>….................. €</v>
      </c>
      <c r="BE19" s="13">
        <v>0.05</v>
      </c>
      <c r="BF19" s="60" t="str">
        <f t="shared" si="7"/>
        <v xml:space="preserve">   st</v>
      </c>
      <c r="BG19" s="62" t="str">
        <f t="shared" si="8"/>
        <v xml:space="preserve">   €</v>
      </c>
      <c r="BI19" s="13">
        <v>0.05</v>
      </c>
      <c r="BJ19" s="60" t="str">
        <f t="shared" si="9"/>
        <v xml:space="preserve">   st</v>
      </c>
      <c r="BK19" s="62" t="str">
        <f t="shared" si="10"/>
        <v xml:space="preserve">   €</v>
      </c>
    </row>
    <row r="20" spans="2:63" ht="12.75" thickBot="1" x14ac:dyDescent="0.25">
      <c r="B20" s="39">
        <v>1.5</v>
      </c>
      <c r="C20" s="41">
        <f>LOOKUP( Help!C24 - N($I$20), Help!$J$24:$J$30, Help!$K$24:$K$30 )</f>
        <v>0</v>
      </c>
      <c r="D20" s="42">
        <f>LOOKUP( Help!D24 - N($I$20), Help!$J$24:$J$30, Help!$K$24:$K$30 )</f>
        <v>0</v>
      </c>
      <c r="E20" s="42">
        <f>LOOKUP( Help!E24 - N($I$20), Help!$J$24:$J$30, Help!$K$24:$K$30 )</f>
        <v>0</v>
      </c>
      <c r="F20" s="42">
        <f>LOOKUP( Help!F24 - N($I$20), Help!$J$24:$J$30, Help!$K$24:$K$30 )</f>
        <v>0</v>
      </c>
      <c r="G20" s="42">
        <f>LOOKUP( Help!G24 - N($I$20), Help!$J$24:$J$30, Help!$K$24:$K$30 )</f>
        <v>0</v>
      </c>
      <c r="H20" s="43">
        <f>LOOKUP( Help!H24 - N($I$20), Help!$J$24:$J$30, Help!$K$24:$K$30 )</f>
        <v>0</v>
      </c>
      <c r="I20" s="70" t="str">
        <f>INPUT_Stuks</f>
        <v xml:space="preserve">   st</v>
      </c>
      <c r="K20" s="41">
        <f>LOOKUP( Help!C24 - N($Q$20), Help!$J$24:$J$30, Help!$K$24:$K$30 )</f>
        <v>0</v>
      </c>
      <c r="L20" s="42">
        <f>LOOKUP( Help!D24 - N($Q$20), Help!$J$24:$J$30, Help!$K$24:$K$30 )</f>
        <v>0</v>
      </c>
      <c r="M20" s="42">
        <f>LOOKUP( Help!E24 - N($Q$20), Help!$J$24:$J$30, Help!$K$24:$K$30 )</f>
        <v>0</v>
      </c>
      <c r="N20" s="42">
        <f>LOOKUP( Help!F24 - N($Q$20), Help!$J$24:$J$30, Help!$K$24:$K$30 )</f>
        <v>0</v>
      </c>
      <c r="O20" s="42">
        <f>LOOKUP( Help!G24 - N($Q$20), Help!$J$24:$J$30, Help!$K$24:$K$30 )</f>
        <v>0</v>
      </c>
      <c r="P20" s="43">
        <f>LOOKUP( Help!H24 - N($Q$20), Help!$J$24:$J$30, Help!$K$24:$K$30 )</f>
        <v>0</v>
      </c>
      <c r="Q20" s="70" t="str">
        <f>INPUT_Stuks</f>
        <v xml:space="preserve">   st</v>
      </c>
      <c r="S20" s="53"/>
      <c r="T20" s="54"/>
      <c r="U20" s="54"/>
      <c r="V20" s="54"/>
      <c r="W20" s="54"/>
      <c r="X20" s="55"/>
      <c r="AA20" s="39">
        <f>B20</f>
        <v>1.5</v>
      </c>
      <c r="AB20" s="41">
        <f>LOOKUP( Help!C24 - N($AH$20), Help!$J$24:$J$30, Help!$K$24:$K$30 )</f>
        <v>0</v>
      </c>
      <c r="AC20" s="42">
        <f>LOOKUP( Help!D24 - N($AH$20), Help!$J$24:$J$30, Help!$K$24:$K$30 )</f>
        <v>0</v>
      </c>
      <c r="AD20" s="42">
        <f>LOOKUP( Help!E24 - N($AH$20), Help!$J$24:$J$30, Help!$K$24:$K$30 )</f>
        <v>0</v>
      </c>
      <c r="AE20" s="42">
        <f>LOOKUP( Help!F24 - N($AH$20), Help!$J$24:$J$30, Help!$K$24:$K$30 )</f>
        <v>0</v>
      </c>
      <c r="AF20" s="42">
        <f>LOOKUP( Help!G24 - N($AH$20), Help!$J$24:$J$30, Help!$K$24:$K$30 )</f>
        <v>0</v>
      </c>
      <c r="AG20" s="43">
        <f>LOOKUP( Help!H24 - N($AH$20), Help!$J$24:$J$30, Help!$K$24:$K$30 )</f>
        <v>0</v>
      </c>
      <c r="AH20" s="70" t="str">
        <f>INPUT_Stuks</f>
        <v xml:space="preserve">   st</v>
      </c>
      <c r="AJ20" s="41">
        <f>LOOKUP( Help!C24 - N($AP$20), Help!$J$24:$J$30, Help!$K$24:$K$30 )</f>
        <v>0</v>
      </c>
      <c r="AK20" s="42">
        <f>LOOKUP( Help!D24 - N($AP$20), Help!$J$24:$J$30, Help!$K$24:$K$30 )</f>
        <v>0</v>
      </c>
      <c r="AL20" s="42">
        <f>LOOKUP( Help!E24 - N($AP$20), Help!$J$24:$J$30, Help!$K$24:$K$30 )</f>
        <v>0</v>
      </c>
      <c r="AM20" s="42">
        <f>LOOKUP( Help!F24 - N($AP$20), Help!$J$24:$J$30, Help!$K$24:$K$30 )</f>
        <v>0</v>
      </c>
      <c r="AN20" s="42">
        <f>LOOKUP( Help!G24 - N($AP$20), Help!$J$24:$J$30, Help!$K$24:$K$30 )</f>
        <v>0</v>
      </c>
      <c r="AO20" s="43">
        <f>LOOKUP( Help!H24 - N($AP$20), Help!$J$24:$J$30, Help!$K$24:$K$30 )</f>
        <v>0</v>
      </c>
      <c r="AP20" s="70" t="str">
        <f>INPUT_Stuks</f>
        <v xml:space="preserve">   st</v>
      </c>
      <c r="AR20" s="53"/>
      <c r="AS20" s="54"/>
      <c r="AT20" s="54"/>
      <c r="AU20" s="54"/>
      <c r="AV20" s="54"/>
      <c r="AW20" s="55"/>
      <c r="BD20" s="10"/>
      <c r="BE20" s="13">
        <v>0.02</v>
      </c>
      <c r="BF20" s="60" t="str">
        <f t="shared" si="7"/>
        <v xml:space="preserve">   st</v>
      </c>
      <c r="BG20" s="62" t="str">
        <f t="shared" si="8"/>
        <v xml:space="preserve">   €</v>
      </c>
      <c r="BI20" s="13">
        <v>0.02</v>
      </c>
      <c r="BJ20" s="60" t="str">
        <f t="shared" si="9"/>
        <v xml:space="preserve">   st</v>
      </c>
      <c r="BK20" s="62" t="str">
        <f t="shared" si="10"/>
        <v xml:space="preserve">   €</v>
      </c>
    </row>
    <row r="21" spans="2:63" ht="12.75" customHeight="1" thickBot="1" x14ac:dyDescent="0.25">
      <c r="B21" s="1" t="s">
        <v>34</v>
      </c>
      <c r="C21" s="44">
        <f>LOOKUP( Help!C25 - N($I$20), Help!$J$24:$J$30, Help!$K$24:$K$30 )</f>
        <v>0</v>
      </c>
      <c r="D21" s="45">
        <f>LOOKUP( Help!D25 - N($I$20), Help!$J$24:$J$30, Help!$K$24:$K$30 )</f>
        <v>0</v>
      </c>
      <c r="E21" s="45">
        <f>LOOKUP( Help!E25 - N($I$20), Help!$J$24:$J$30, Help!$K$24:$K$30 )</f>
        <v>0</v>
      </c>
      <c r="F21" s="45">
        <f>LOOKUP( Help!F25 - N($I$20), Help!$J$24:$J$30, Help!$K$24:$K$30 )</f>
        <v>0</v>
      </c>
      <c r="G21" s="45">
        <f>LOOKUP( Help!G25 - N($I$20), Help!$J$24:$J$30, Help!$K$24:$K$30 )</f>
        <v>0</v>
      </c>
      <c r="H21" s="46">
        <f>LOOKUP( Help!H25 - N($I$20), Help!$J$24:$J$30, Help!$K$24:$K$30 )</f>
        <v>0</v>
      </c>
      <c r="I21" s="67" t="str">
        <f>IF( COUNTIF( C20:H22, "&gt;0" ) &gt; 0, SUM( C20:H22 ), INPUT_Stuks )</f>
        <v xml:space="preserve">   st</v>
      </c>
      <c r="K21" s="44">
        <f>LOOKUP( Help!C25 - N($Q$20), Help!$J$24:$J$30, Help!$K$24:$K$30 )</f>
        <v>0</v>
      </c>
      <c r="L21" s="45">
        <f>LOOKUP( Help!D25 - N($Q$20), Help!$J$24:$J$30, Help!$K$24:$K$30 )</f>
        <v>0</v>
      </c>
      <c r="M21" s="45">
        <f>LOOKUP( Help!E25 - N($Q$20), Help!$J$24:$J$30, Help!$K$24:$K$30 )</f>
        <v>0</v>
      </c>
      <c r="N21" s="45">
        <f>LOOKUP( Help!F25 - N($Q$20), Help!$J$24:$J$30, Help!$K$24:$K$30 )</f>
        <v>0</v>
      </c>
      <c r="O21" s="45">
        <f>LOOKUP( Help!G25 - N($Q$20), Help!$J$24:$J$30, Help!$K$24:$K$30 )</f>
        <v>0</v>
      </c>
      <c r="P21" s="46">
        <f>LOOKUP( Help!H25 - N($Q$20), Help!$J$24:$J$30, Help!$K$24:$K$30 )</f>
        <v>0</v>
      </c>
      <c r="Q21" s="67" t="str">
        <f>IF( COUNTIF( K20:P22, "&gt;0" ) &gt; 0, SUM( K20:P22 ), INPUT_Stuks )</f>
        <v xml:space="preserve">   st</v>
      </c>
      <c r="S21" s="53"/>
      <c r="T21" s="54"/>
      <c r="U21" s="54"/>
      <c r="V21" s="54"/>
      <c r="W21" s="54"/>
      <c r="X21" s="55"/>
      <c r="AA21" s="1" t="str">
        <f>IF( B21 &lt;&gt; "", B21, "" )</f>
        <v>Jenever</v>
      </c>
      <c r="AB21" s="44">
        <f>LOOKUP( Help!C25 - N($AH$20), Help!$J$24:$J$30, Help!$K$24:$K$30 )</f>
        <v>0</v>
      </c>
      <c r="AC21" s="45">
        <f>LOOKUP( Help!D25 - N($AH$20), Help!$J$24:$J$30, Help!$K$24:$K$30 )</f>
        <v>0</v>
      </c>
      <c r="AD21" s="45">
        <f>LOOKUP( Help!E25 - N($AH$20), Help!$J$24:$J$30, Help!$K$24:$K$30 )</f>
        <v>0</v>
      </c>
      <c r="AE21" s="45">
        <f>LOOKUP( Help!F25 - N($AH$20), Help!$J$24:$J$30, Help!$K$24:$K$30 )</f>
        <v>0</v>
      </c>
      <c r="AF21" s="45">
        <f>LOOKUP( Help!G25 - N($AH$20), Help!$J$24:$J$30, Help!$K$24:$K$30 )</f>
        <v>0</v>
      </c>
      <c r="AG21" s="46">
        <f>LOOKUP( Help!H25 - N($AH$20), Help!$J$24:$J$30, Help!$K$24:$K$30 )</f>
        <v>0</v>
      </c>
      <c r="AH21" s="67" t="str">
        <f>IF( COUNTIF( AB20:AG22, "&gt;0" ) &gt; 0, SUM( AB20:AG22 ), INPUT_Stuks )</f>
        <v xml:space="preserve">   st</v>
      </c>
      <c r="AJ21" s="44">
        <f>LOOKUP( Help!C25 - N($AP$20), Help!$J$24:$J$30, Help!$K$24:$K$30 )</f>
        <v>0</v>
      </c>
      <c r="AK21" s="45">
        <f>LOOKUP( Help!D25 - N($AP$20), Help!$J$24:$J$30, Help!$K$24:$K$30 )</f>
        <v>0</v>
      </c>
      <c r="AL21" s="45">
        <f>LOOKUP( Help!E25 - N($AP$20), Help!$J$24:$J$30, Help!$K$24:$K$30 )</f>
        <v>0</v>
      </c>
      <c r="AM21" s="45">
        <f>LOOKUP( Help!F25 - N($AP$20), Help!$J$24:$J$30, Help!$K$24:$K$30 )</f>
        <v>0</v>
      </c>
      <c r="AN21" s="45">
        <f>LOOKUP( Help!G25 - N($AP$20), Help!$J$24:$J$30, Help!$K$24:$K$30 )</f>
        <v>0</v>
      </c>
      <c r="AO21" s="46">
        <f>LOOKUP( Help!H25 - N($AP$20), Help!$J$24:$J$30, Help!$K$24:$K$30 )</f>
        <v>0</v>
      </c>
      <c r="AP21" s="67" t="str">
        <f>IF( COUNTIF( AJ20:AO22, "&gt;0" ) &gt; 0, SUM( AJ20:AO22 ), INPUT_Stuks )</f>
        <v xml:space="preserve">   st</v>
      </c>
      <c r="AR21" s="53"/>
      <c r="AS21" s="54"/>
      <c r="AT21" s="54"/>
      <c r="AU21" s="54"/>
      <c r="AV21" s="54"/>
      <c r="AW21" s="55"/>
      <c r="AZ21" s="6" t="s">
        <v>12</v>
      </c>
      <c r="BB21" s="76" t="str">
        <f>INPUT_Lange_Tekst</f>
        <v>….....................................</v>
      </c>
      <c r="BC21" s="10"/>
      <c r="BE21" s="13">
        <v>0.01</v>
      </c>
      <c r="BF21" s="60" t="str">
        <f t="shared" si="7"/>
        <v xml:space="preserve">   st</v>
      </c>
      <c r="BG21" s="62" t="str">
        <f t="shared" si="8"/>
        <v xml:space="preserve">   €</v>
      </c>
      <c r="BI21" s="13">
        <v>0.01</v>
      </c>
      <c r="BJ21" s="60" t="str">
        <f t="shared" si="9"/>
        <v xml:space="preserve">   st</v>
      </c>
      <c r="BK21" s="62" t="str">
        <f t="shared" si="10"/>
        <v xml:space="preserve">   €</v>
      </c>
    </row>
    <row r="22" spans="2:63" ht="12.75" thickBot="1" x14ac:dyDescent="0.25">
      <c r="B22" s="3" t="s">
        <v>35</v>
      </c>
      <c r="C22" s="47">
        <f>LOOKUP( Help!C26 - N($I$20), Help!$J$24:$J$30, Help!$K$24:$K$30 )</f>
        <v>0</v>
      </c>
      <c r="D22" s="48">
        <f>LOOKUP( Help!D26 - N($I$20), Help!$J$24:$J$30, Help!$K$24:$K$30 )</f>
        <v>0</v>
      </c>
      <c r="E22" s="48">
        <f>LOOKUP( Help!E26 - N($I$20), Help!$J$24:$J$30, Help!$K$24:$K$30 )</f>
        <v>0</v>
      </c>
      <c r="F22" s="48">
        <f>LOOKUP( Help!F26 - N($I$20), Help!$J$24:$J$30, Help!$K$24:$K$30 )</f>
        <v>0</v>
      </c>
      <c r="G22" s="48">
        <f>LOOKUP( Help!G26 - N($I$20), Help!$J$24:$J$30, Help!$K$24:$K$30 )</f>
        <v>0</v>
      </c>
      <c r="H22" s="49">
        <f>LOOKUP( Help!H26 - N($I$20), Help!$J$24:$J$30, Help!$K$24:$K$30 )</f>
        <v>0</v>
      </c>
      <c r="I22" s="68" t="str">
        <f>IF( COUNTIF( C20:H22, "&gt;0" ) &gt; 0, $B20 * I21, INPUT_Kort_Bedrag )</f>
        <v xml:space="preserve">   €</v>
      </c>
      <c r="K22" s="47">
        <f>LOOKUP( Help!C26 - N($Q$20), Help!$J$24:$J$30, Help!$K$24:$K$30 )</f>
        <v>0</v>
      </c>
      <c r="L22" s="48">
        <f>LOOKUP( Help!D26 - N($Q$20), Help!$J$24:$J$30, Help!$K$24:$K$30 )</f>
        <v>0</v>
      </c>
      <c r="M22" s="48">
        <f>LOOKUP( Help!E26 - N($Q$20), Help!$J$24:$J$30, Help!$K$24:$K$30 )</f>
        <v>0</v>
      </c>
      <c r="N22" s="48">
        <f>LOOKUP( Help!F26 - N($Q$20), Help!$J$24:$J$30, Help!$K$24:$K$30 )</f>
        <v>0</v>
      </c>
      <c r="O22" s="48">
        <f>LOOKUP( Help!G26 - N($Q$20), Help!$J$24:$J$30, Help!$K$24:$K$30 )</f>
        <v>0</v>
      </c>
      <c r="P22" s="49">
        <f>LOOKUP( Help!H26 - N($Q$20), Help!$J$24:$J$30, Help!$K$24:$K$30 )</f>
        <v>0</v>
      </c>
      <c r="Q22" s="68" t="str">
        <f>IF( COUNTIF( K20:P22, "&gt;0" ) &gt; 0, $B20 * Q21, INPUT_Kort_Bedrag )</f>
        <v xml:space="preserve">   €</v>
      </c>
      <c r="S22" s="53"/>
      <c r="T22" s="54"/>
      <c r="U22" s="54"/>
      <c r="V22" s="54"/>
      <c r="W22" s="54"/>
      <c r="X22" s="55"/>
      <c r="AA22" s="3" t="str">
        <f>IF( B22 &lt;&gt; "", B22, "" )</f>
        <v>Cava, Wijn:  I I</v>
      </c>
      <c r="AB22" s="47">
        <f>LOOKUP( Help!C26 - N($AH$20), Help!$J$24:$J$30, Help!$K$24:$K$30 )</f>
        <v>0</v>
      </c>
      <c r="AC22" s="48">
        <f>LOOKUP( Help!D26 - N($AH$20), Help!$J$24:$J$30, Help!$K$24:$K$30 )</f>
        <v>0</v>
      </c>
      <c r="AD22" s="48">
        <f>LOOKUP( Help!E26 - N($AH$20), Help!$J$24:$J$30, Help!$K$24:$K$30 )</f>
        <v>0</v>
      </c>
      <c r="AE22" s="48">
        <f>LOOKUP( Help!F26 - N($AH$20), Help!$J$24:$J$30, Help!$K$24:$K$30 )</f>
        <v>0</v>
      </c>
      <c r="AF22" s="48">
        <f>LOOKUP( Help!G26 - N($AH$20), Help!$J$24:$J$30, Help!$K$24:$K$30 )</f>
        <v>0</v>
      </c>
      <c r="AG22" s="49">
        <f>LOOKUP( Help!H26 - N($AH$20), Help!$J$24:$J$30, Help!$K$24:$K$30 )</f>
        <v>0</v>
      </c>
      <c r="AH22" s="68" t="str">
        <f>IF( COUNTIF( AB20:AG22, "&gt;0" ) &gt; 0, $B20 * AH21, INPUT_Kort_Bedrag )</f>
        <v xml:space="preserve">   €</v>
      </c>
      <c r="AJ22" s="47">
        <f>LOOKUP( Help!C26 - N($AP$20), Help!$J$24:$J$30, Help!$K$24:$K$30 )</f>
        <v>0</v>
      </c>
      <c r="AK22" s="48">
        <f>LOOKUP( Help!D26 - N($AP$20), Help!$J$24:$J$30, Help!$K$24:$K$30 )</f>
        <v>0</v>
      </c>
      <c r="AL22" s="48">
        <f>LOOKUP( Help!E26 - N($AP$20), Help!$J$24:$J$30, Help!$K$24:$K$30 )</f>
        <v>0</v>
      </c>
      <c r="AM22" s="48">
        <f>LOOKUP( Help!F26 - N($AP$20), Help!$J$24:$J$30, Help!$K$24:$K$30 )</f>
        <v>0</v>
      </c>
      <c r="AN22" s="48">
        <f>LOOKUP( Help!G26 - N($AP$20), Help!$J$24:$J$30, Help!$K$24:$K$30 )</f>
        <v>0</v>
      </c>
      <c r="AO22" s="49">
        <f>LOOKUP( Help!H26 - N($AP$20), Help!$J$24:$J$30, Help!$K$24:$K$30 )</f>
        <v>0</v>
      </c>
      <c r="AP22" s="68" t="str">
        <f>IF( COUNTIF( AJ20:AO22, "&gt;0" ) &gt; 0, $B20 * AP21, INPUT_Kort_Bedrag )</f>
        <v xml:space="preserve">   €</v>
      </c>
      <c r="AR22" s="53"/>
      <c r="AS22" s="54"/>
      <c r="AT22" s="54"/>
      <c r="AU22" s="54"/>
      <c r="AV22" s="54"/>
      <c r="AW22" s="55"/>
      <c r="AZ22" s="40" t="s">
        <v>36</v>
      </c>
    </row>
    <row r="23" spans="2:63" ht="12.75" thickBot="1" x14ac:dyDescent="0.25">
      <c r="K23" s="91" t="s">
        <v>38</v>
      </c>
      <c r="L23" s="91"/>
      <c r="M23" s="91"/>
      <c r="N23" s="91"/>
      <c r="O23" s="91"/>
      <c r="P23" s="91"/>
      <c r="S23" s="53"/>
      <c r="T23" s="54"/>
      <c r="U23" s="54"/>
      <c r="V23" s="54"/>
      <c r="W23" s="54"/>
      <c r="X23" s="55"/>
      <c r="AJ23" s="91" t="str">
        <f>K23</f>
        <v>Poef: OFWEL afgerekende betalingen</v>
      </c>
      <c r="AK23" s="91"/>
      <c r="AL23" s="91"/>
      <c r="AM23" s="91"/>
      <c r="AN23" s="91"/>
      <c r="AO23" s="91"/>
      <c r="AR23" s="53"/>
      <c r="AS23" s="54"/>
      <c r="AT23" s="54"/>
      <c r="AU23" s="54"/>
      <c r="AV23" s="54"/>
      <c r="AW23" s="55"/>
      <c r="BD23" s="8"/>
      <c r="BF23" s="14" t="s">
        <v>17</v>
      </c>
      <c r="BG23" s="59" t="str">
        <f>IF( COUNT( BF8:BF21 ) &gt; 0, SUMPRODUCT( BE8:BE21, BF8:BF21 ), INPUT_Kort_Bedrag )</f>
        <v xml:space="preserve">   €</v>
      </c>
      <c r="BJ23" s="14" t="s">
        <v>17</v>
      </c>
      <c r="BK23" s="59" t="str">
        <f>IF( COUNT( BJ8:BJ21 ) &gt; 0, SUMPRODUCT( BI8:BI21, BJ8:BJ21 ), INPUT_Kort_Bedrag )</f>
        <v xml:space="preserve">   €</v>
      </c>
    </row>
    <row r="24" spans="2:63" ht="12.75" thickBot="1" x14ac:dyDescent="0.25">
      <c r="K24" s="92"/>
      <c r="L24" s="92"/>
      <c r="M24" s="92"/>
      <c r="N24" s="92"/>
      <c r="O24" s="92"/>
      <c r="P24" s="92"/>
      <c r="S24" s="53"/>
      <c r="T24" s="54"/>
      <c r="U24" s="54"/>
      <c r="V24" s="54"/>
      <c r="W24" s="54"/>
      <c r="X24" s="55"/>
      <c r="AJ24" s="92"/>
      <c r="AK24" s="92"/>
      <c r="AL24" s="92"/>
      <c r="AM24" s="92"/>
      <c r="AN24" s="92"/>
      <c r="AO24" s="92"/>
      <c r="AR24" s="53"/>
      <c r="AS24" s="54"/>
      <c r="AT24" s="54"/>
      <c r="AU24" s="54"/>
      <c r="AV24" s="54"/>
      <c r="AW24" s="55"/>
      <c r="AZ24" s="6" t="s">
        <v>6</v>
      </c>
      <c r="BB24" s="64" t="str">
        <f>BB31</f>
        <v>….................. €</v>
      </c>
      <c r="BC24" s="8" t="s">
        <v>10</v>
      </c>
      <c r="BD24" s="8"/>
    </row>
    <row r="25" spans="2:63" x14ac:dyDescent="0.2">
      <c r="K25" s="50"/>
      <c r="L25" s="51"/>
      <c r="M25" s="51"/>
      <c r="N25" s="51"/>
      <c r="O25" s="51"/>
      <c r="P25" s="52"/>
      <c r="S25" s="53"/>
      <c r="T25" s="54"/>
      <c r="U25" s="54"/>
      <c r="V25" s="54"/>
      <c r="W25" s="54"/>
      <c r="X25" s="55"/>
      <c r="AJ25" s="50"/>
      <c r="AK25" s="51"/>
      <c r="AL25" s="51"/>
      <c r="AM25" s="51"/>
      <c r="AN25" s="51"/>
      <c r="AO25" s="52"/>
      <c r="AR25" s="53"/>
      <c r="AS25" s="54"/>
      <c r="AT25" s="54"/>
      <c r="AU25" s="54"/>
      <c r="AV25" s="54"/>
      <c r="AW25" s="55"/>
      <c r="AZ25" s="6" t="str">
        <f>"Rekening " &amp; INPUT_Eigenaar</f>
        <v>Rekening De Weerdt</v>
      </c>
      <c r="BB25" s="63" t="str">
        <f>BB19</f>
        <v>….................. €</v>
      </c>
      <c r="BC25" s="8" t="s">
        <v>11</v>
      </c>
      <c r="BD25" s="8"/>
    </row>
    <row r="26" spans="2:63" x14ac:dyDescent="0.2">
      <c r="K26" s="72"/>
      <c r="L26" s="73"/>
      <c r="M26" s="73"/>
      <c r="N26" s="73"/>
      <c r="O26" s="73"/>
      <c r="P26" s="74"/>
      <c r="S26" s="53"/>
      <c r="T26" s="54"/>
      <c r="U26" s="54"/>
      <c r="V26" s="54"/>
      <c r="W26" s="54"/>
      <c r="X26" s="55"/>
      <c r="AJ26" s="72"/>
      <c r="AK26" s="73"/>
      <c r="AL26" s="73"/>
      <c r="AM26" s="73"/>
      <c r="AN26" s="73"/>
      <c r="AO26" s="74"/>
      <c r="AR26" s="53"/>
      <c r="AS26" s="54"/>
      <c r="AT26" s="54"/>
      <c r="AU26" s="54"/>
      <c r="AV26" s="54"/>
      <c r="AW26" s="55"/>
      <c r="AZ26" s="6" t="s">
        <v>39</v>
      </c>
      <c r="BB26" s="76" t="str">
        <f>INPUT_Lang_Bedrag</f>
        <v>….................. €</v>
      </c>
      <c r="BC26" s="8" t="s">
        <v>11</v>
      </c>
      <c r="BD26" s="8"/>
    </row>
    <row r="27" spans="2:63" x14ac:dyDescent="0.2">
      <c r="C27" s="87" t="str">
        <f>UPPER( B2 )</f>
        <v>LUCYVO</v>
      </c>
      <c r="D27" s="87"/>
      <c r="E27" s="87"/>
      <c r="F27" s="87"/>
      <c r="G27" s="87"/>
      <c r="K27" s="72"/>
      <c r="L27" s="73"/>
      <c r="M27" s="73"/>
      <c r="N27" s="73"/>
      <c r="O27" s="73"/>
      <c r="P27" s="74"/>
      <c r="S27" s="53"/>
      <c r="T27" s="54"/>
      <c r="U27" s="54"/>
      <c r="V27" s="54"/>
      <c r="W27" s="54"/>
      <c r="X27" s="55"/>
      <c r="AB27" s="88" t="str">
        <f>UPPER( IF( BB7 = INPUT_Lange_Tekst, AA2, BB7 ) )</f>
        <v>TEGENSTANDER</v>
      </c>
      <c r="AC27" s="88"/>
      <c r="AD27" s="88"/>
      <c r="AE27" s="88"/>
      <c r="AF27" s="88"/>
      <c r="AJ27" s="72"/>
      <c r="AK27" s="73"/>
      <c r="AL27" s="73"/>
      <c r="AM27" s="73"/>
      <c r="AN27" s="73"/>
      <c r="AO27" s="74"/>
      <c r="AR27" s="53"/>
      <c r="AS27" s="54"/>
      <c r="AT27" s="54"/>
      <c r="AU27" s="54"/>
      <c r="AV27" s="54"/>
      <c r="AW27" s="55"/>
      <c r="AZ27" s="9" t="str">
        <f>"Kasresultaat " &amp; INPUT_Ploegnaam</f>
        <v>Kasresultaat Lucyvo</v>
      </c>
      <c r="BA27" s="7"/>
      <c r="BB27" s="65" t="str">
        <f>IF( COUNT( BB24:BB26 ) &gt; 0, SUM( BB24 ) - SUM( BB25 ) - SUM( BB26 ), INPUT_Lang_Bedrag )</f>
        <v>….................. €</v>
      </c>
      <c r="BD27" s="8"/>
      <c r="BF27" t="str">
        <f>"Paraaf " &amp; INPUT_Ploegnaam</f>
        <v>Paraaf Lucyvo</v>
      </c>
      <c r="BH27" s="16"/>
      <c r="BI27" s="17"/>
      <c r="BJ27" s="7"/>
      <c r="BK27" s="18"/>
    </row>
    <row r="28" spans="2:63" x14ac:dyDescent="0.2">
      <c r="C28" s="87"/>
      <c r="D28" s="87"/>
      <c r="E28" s="87"/>
      <c r="F28" s="87"/>
      <c r="G28" s="87"/>
      <c r="K28" s="72"/>
      <c r="L28" s="73"/>
      <c r="M28" s="73"/>
      <c r="N28" s="73"/>
      <c r="O28" s="73"/>
      <c r="P28" s="74"/>
      <c r="S28" s="53"/>
      <c r="T28" s="54"/>
      <c r="U28" s="54"/>
      <c r="V28" s="54"/>
      <c r="W28" s="54"/>
      <c r="X28" s="55"/>
      <c r="AB28" s="88"/>
      <c r="AC28" s="88"/>
      <c r="AD28" s="88"/>
      <c r="AE28" s="88"/>
      <c r="AF28" s="88"/>
      <c r="AJ28" s="72"/>
      <c r="AK28" s="73"/>
      <c r="AL28" s="73"/>
      <c r="AM28" s="73"/>
      <c r="AN28" s="73"/>
      <c r="AO28" s="74"/>
      <c r="AR28" s="53"/>
      <c r="AS28" s="54"/>
      <c r="AT28" s="54"/>
      <c r="AU28" s="54"/>
      <c r="AV28" s="54"/>
      <c r="AW28" s="55"/>
      <c r="BH28" s="19"/>
      <c r="BI28" s="2"/>
      <c r="BJ28" s="2"/>
      <c r="BK28" s="20"/>
    </row>
    <row r="29" spans="2:63" x14ac:dyDescent="0.2">
      <c r="C29" s="87"/>
      <c r="D29" s="87"/>
      <c r="E29" s="87"/>
      <c r="F29" s="87"/>
      <c r="G29" s="87"/>
      <c r="K29" s="53"/>
      <c r="L29" s="54"/>
      <c r="M29" s="54"/>
      <c r="N29" s="54"/>
      <c r="O29" s="54"/>
      <c r="P29" s="55"/>
      <c r="Q29" s="78"/>
      <c r="S29" s="53"/>
      <c r="T29" s="54"/>
      <c r="U29" s="54"/>
      <c r="V29" s="54"/>
      <c r="W29" s="54"/>
      <c r="X29" s="55"/>
      <c r="AB29" s="88"/>
      <c r="AC29" s="88"/>
      <c r="AD29" s="88"/>
      <c r="AE29" s="88"/>
      <c r="AF29" s="88"/>
      <c r="AJ29" s="53"/>
      <c r="AK29" s="54"/>
      <c r="AL29" s="54"/>
      <c r="AM29" s="54"/>
      <c r="AN29" s="54"/>
      <c r="AO29" s="55"/>
      <c r="AR29" s="53"/>
      <c r="AS29" s="54"/>
      <c r="AT29" s="54"/>
      <c r="AU29" s="54"/>
      <c r="AV29" s="54"/>
      <c r="AW29" s="55"/>
      <c r="AZ29" s="6" t="str">
        <f>PROPER( C27 )</f>
        <v>Lucyvo</v>
      </c>
      <c r="BB29" s="63" t="str">
        <f>IF( COUNT( I34, Y34 ) &gt; 0, SUM( I34 ) + SUM( Y34 ), INPUT_Lang_Bedrag )</f>
        <v>….................. €</v>
      </c>
      <c r="BC29" s="8" t="s">
        <v>10</v>
      </c>
      <c r="BH29" s="21"/>
      <c r="BI29" s="22"/>
      <c r="BJ29" s="22"/>
      <c r="BK29" s="23"/>
    </row>
    <row r="30" spans="2:63" x14ac:dyDescent="0.2">
      <c r="C30" s="87"/>
      <c r="D30" s="87"/>
      <c r="E30" s="87"/>
      <c r="F30" s="87"/>
      <c r="G30" s="87"/>
      <c r="K30" s="53"/>
      <c r="L30" s="54"/>
      <c r="M30" s="54"/>
      <c r="N30" s="54"/>
      <c r="O30" s="54"/>
      <c r="P30" s="55"/>
      <c r="S30" s="53"/>
      <c r="T30" s="54"/>
      <c r="U30" s="54"/>
      <c r="V30" s="54"/>
      <c r="W30" s="54"/>
      <c r="X30" s="55"/>
      <c r="AB30" s="88"/>
      <c r="AC30" s="88"/>
      <c r="AD30" s="88"/>
      <c r="AE30" s="88"/>
      <c r="AF30" s="88"/>
      <c r="AJ30" s="53"/>
      <c r="AK30" s="54"/>
      <c r="AL30" s="54"/>
      <c r="AM30" s="54"/>
      <c r="AN30" s="54"/>
      <c r="AO30" s="55"/>
      <c r="AR30" s="53"/>
      <c r="AS30" s="54"/>
      <c r="AT30" s="54"/>
      <c r="AU30" s="54"/>
      <c r="AV30" s="54"/>
      <c r="AW30" s="55"/>
      <c r="AZ30" s="6" t="str">
        <f>PROPER( AB27 )</f>
        <v>Tegenstander</v>
      </c>
      <c r="BB30" s="64" t="str">
        <f>IF( COUNT( AH34, AX34 ) &gt; 0, SUM( AH34 ) + SUM( AX34 ), INPUT_Lang_Bedrag )</f>
        <v>….................. €</v>
      </c>
      <c r="BC30" s="8" t="s">
        <v>10</v>
      </c>
    </row>
    <row r="31" spans="2:63" ht="12.75" thickBot="1" x14ac:dyDescent="0.25">
      <c r="C31" s="87"/>
      <c r="D31" s="87"/>
      <c r="E31" s="87"/>
      <c r="F31" s="87"/>
      <c r="G31" s="87"/>
      <c r="K31" s="53"/>
      <c r="L31" s="54"/>
      <c r="M31" s="54"/>
      <c r="N31" s="54"/>
      <c r="O31" s="54"/>
      <c r="P31" s="55"/>
      <c r="S31" s="53"/>
      <c r="T31" s="54"/>
      <c r="U31" s="54"/>
      <c r="V31" s="54"/>
      <c r="W31" s="54"/>
      <c r="X31" s="55"/>
      <c r="AB31" s="88"/>
      <c r="AC31" s="88"/>
      <c r="AD31" s="88"/>
      <c r="AE31" s="88"/>
      <c r="AF31" s="88"/>
      <c r="AJ31" s="53"/>
      <c r="AK31" s="54"/>
      <c r="AL31" s="54"/>
      <c r="AM31" s="54"/>
      <c r="AN31" s="54"/>
      <c r="AO31" s="55"/>
      <c r="AR31" s="53"/>
      <c r="AS31" s="54"/>
      <c r="AT31" s="54"/>
      <c r="AU31" s="54"/>
      <c r="AV31" s="54"/>
      <c r="AW31" s="55"/>
      <c r="AZ31" s="9" t="s">
        <v>6</v>
      </c>
      <c r="BA31" s="7"/>
      <c r="BB31" s="65" t="str">
        <f>IF( COUNT( BB29:BB30 ) &gt; 0, SUM( BB29 ) + SUM( BB30 ), INPUT_Lang_Bedrag )</f>
        <v>….................. €</v>
      </c>
      <c r="BF31" t="str">
        <f>"Paraaf " &amp; INPUT_Eigenaar</f>
        <v>Paraaf De Weerdt</v>
      </c>
      <c r="BH31" s="16"/>
      <c r="BI31" s="17"/>
      <c r="BJ31" s="7"/>
      <c r="BK31" s="18"/>
    </row>
    <row r="32" spans="2:63" ht="12.75" thickBot="1" x14ac:dyDescent="0.25">
      <c r="K32" s="56"/>
      <c r="L32" s="57"/>
      <c r="M32" s="57"/>
      <c r="N32" s="57"/>
      <c r="O32" s="57"/>
      <c r="P32" s="58"/>
      <c r="Q32" s="68" t="str">
        <f>IF( COUNT( K25:P32 ) &gt; 0, SUM( K25:P32 ), INPUT_Kort_Bedrag )</f>
        <v xml:space="preserve">   €</v>
      </c>
      <c r="S32" s="56"/>
      <c r="T32" s="57"/>
      <c r="U32" s="57"/>
      <c r="V32" s="57"/>
      <c r="W32" s="57"/>
      <c r="X32" s="58"/>
      <c r="Y32" s="68" t="str">
        <f>IF( COUNT( S10:X32 ) &gt; 0, SUM( S10:X32 ), INPUT_Kort_Bedrag )</f>
        <v xml:space="preserve">   €</v>
      </c>
      <c r="AJ32" s="56"/>
      <c r="AK32" s="57"/>
      <c r="AL32" s="57"/>
      <c r="AM32" s="57"/>
      <c r="AN32" s="57"/>
      <c r="AO32" s="58"/>
      <c r="AP32" s="68" t="str">
        <f>IF( COUNT( AJ25:AO32 ) &gt; 0, SUM( AJ25:AO32 ), INPUT_Kort_Bedrag )</f>
        <v xml:space="preserve">   €</v>
      </c>
      <c r="AR32" s="56"/>
      <c r="AS32" s="57"/>
      <c r="AT32" s="57"/>
      <c r="AU32" s="57"/>
      <c r="AV32" s="57"/>
      <c r="AW32" s="58"/>
      <c r="AX32" s="68" t="str">
        <f>IF( COUNT( AR10:AW32 ) &gt; 0, SUM( AR10:AW32 ), INPUT_Kort_Bedrag )</f>
        <v xml:space="preserve">   €</v>
      </c>
      <c r="BH32" s="19"/>
      <c r="BI32" s="2"/>
      <c r="BJ32" s="2"/>
      <c r="BK32" s="20"/>
    </row>
    <row r="33" spans="7:63" ht="12.75" thickBot="1" x14ac:dyDescent="0.25">
      <c r="AZ33" s="40" t="str">
        <f>"Afrekening " &amp; AZ29</f>
        <v>Afrekening Lucyvo</v>
      </c>
      <c r="BB33" s="64" t="str">
        <f>IF( COUNT( I34, Q34 ) &gt; 0, SUM( I34 ) - SUM( Q34 ), INPUT_Lang_Bedrag )</f>
        <v>….................. €</v>
      </c>
      <c r="BH33" s="21"/>
      <c r="BI33" s="22"/>
      <c r="BJ33" s="22"/>
      <c r="BK33" s="23"/>
    </row>
    <row r="34" spans="7:63" ht="12.75" thickBot="1" x14ac:dyDescent="0.25">
      <c r="G34" s="75" t="s">
        <v>19</v>
      </c>
      <c r="I34" s="59" t="str">
        <f>IF( COUNTIF( C4:H22, "&gt;0" ) &gt; 0, B4 * SUM( C4:H9 ) + B11 * SUM( C11:H14 ) + B16 * SUM( C16:H18 ) + B20 * SUM( C20:H22 ), INPUT_Kort_Bedrag )</f>
        <v xml:space="preserve">   €</v>
      </c>
      <c r="Q34" s="63" t="str">
        <f>IF( COUNTIF( K4:P32, "&gt;0" ) &gt; 0, SUM( Q9, Q14, Q18, Q22, Q32 ), INPUT_Kort_Bedrag )</f>
        <v xml:space="preserve">   €</v>
      </c>
      <c r="Y34" s="59" t="str">
        <f>IF( COUNT( S10:X32 ) &gt; 0, Y32, INPUT_Kort_Bedrag )</f>
        <v xml:space="preserve">   €</v>
      </c>
      <c r="AF34" s="75" t="str">
        <f>G34</f>
        <v>Subtotalen</v>
      </c>
      <c r="AH34" s="59" t="str">
        <f>IF( COUNTIF( AB4:AG22, "&gt;0" ) &gt; 0, AA4 * SUM( AB4:AG9 ) + AA11 * SUM( AB11:AG14 ) + AA16 * SUM( AB16:AG18 ) + AA20 * SUM( AB20:AG22 ), INPUT_Kort_Bedrag )</f>
        <v xml:space="preserve">   €</v>
      </c>
      <c r="AP34" s="63" t="str">
        <f>IF( COUNTIF( AJ4:AO32, "&gt;0" ) &gt; 0, SUM( AP9, AP14, AP18, AP22, AP32 ), INPUT_Kort_Bedrag )</f>
        <v xml:space="preserve">   €</v>
      </c>
      <c r="AX34" s="59" t="str">
        <f>IF( COUNT( AR10:AW32 ) &gt; 0, AX32, INPUT_Kort_Bedrag )</f>
        <v xml:space="preserve">   €</v>
      </c>
      <c r="AZ34" s="40" t="str">
        <f>"Afrekening " &amp; AZ30</f>
        <v>Afrekening Tegenstander</v>
      </c>
      <c r="BB34" s="64" t="str">
        <f>IF( COUNT( AH34, AP34 ) &gt; 0, SUM( AH34 ) - SUM( AP34 ), INPUT_Lang_Bedrag )</f>
        <v>….................. €</v>
      </c>
    </row>
    <row r="35" spans="7:63" x14ac:dyDescent="0.2">
      <c r="BF35" t="str">
        <f>"Rekening werd betaald aan " &amp; INPUT_Eigenaar</f>
        <v>Rekening werd betaald aan De Weerdt</v>
      </c>
      <c r="BJ35" s="81" t="s">
        <v>41</v>
      </c>
    </row>
    <row r="36" spans="7:63" x14ac:dyDescent="0.2">
      <c r="G36" s="12"/>
      <c r="AF36" s="12"/>
    </row>
  </sheetData>
  <sheetProtection sheet="1" selectLockedCells="1"/>
  <mergeCells count="16">
    <mergeCell ref="BF5:BG6"/>
    <mergeCell ref="BJ5:BK6"/>
    <mergeCell ref="AJ2:AO2"/>
    <mergeCell ref="AR8:AW8"/>
    <mergeCell ref="C2:H2"/>
    <mergeCell ref="K2:P2"/>
    <mergeCell ref="S8:X8"/>
    <mergeCell ref="AB2:AG2"/>
    <mergeCell ref="C27:G31"/>
    <mergeCell ref="AB27:AF31"/>
    <mergeCell ref="AT4:AW4"/>
    <mergeCell ref="AT5:AW5"/>
    <mergeCell ref="U4:X4"/>
    <mergeCell ref="U5:X5"/>
    <mergeCell ref="K23:P24"/>
    <mergeCell ref="AJ23:AO24"/>
  </mergeCells>
  <conditionalFormatting sqref="C20:H22 K20:P22 AB20:AG22 AJ20:AO22 C16:H18 K16:P18 AB16:AG18 AJ16:AO18 C11:H14 K11:P14 AB11:AG14 AJ11:AO14 C4:H9 K4:P9 AB4:AG9 AJ4:AO9">
    <cfRule type="cellIs" dxfId="11" priority="13" operator="equal">
      <formula>0</formula>
    </cfRule>
    <cfRule type="cellIs" dxfId="10" priority="14" operator="equal">
      <formula>1</formula>
    </cfRule>
    <cfRule type="cellIs" dxfId="9" priority="15" operator="equal">
      <formula>2</formula>
    </cfRule>
    <cfRule type="cellIs" dxfId="8" priority="16" operator="equal">
      <formula>3</formula>
    </cfRule>
    <cfRule type="cellIs" dxfId="7" priority="17" operator="equal">
      <formula>4</formula>
    </cfRule>
    <cfRule type="cellIs" dxfId="6" priority="18" operator="equal">
      <formula>5</formula>
    </cfRule>
  </conditionalFormatting>
  <conditionalFormatting sqref="BB21 BG8:BG12 BG14:BG21 BK8:BK12 BK14:BK21 S10:X32 AR10:AW32 C20:H22 K20:P22 AB20:AG22 AJ20:AO22 C16:H18 K16:P18 AB16:AG18 AJ16:AO18 C11:H14 K11:P14 AB11:AG14 AJ11:AO14 C4:H9 K4:P9 AB4:AG9 AJ4:AO9 K25:P32 AJ25:AO32 BB19 BB15:BB17 BB33:BB34 BB9:BB12 BB26:BB27">
    <cfRule type="expression" dxfId="5" priority="8">
      <formula>ISNUMBER(C4)</formula>
    </cfRule>
  </conditionalFormatting>
  <conditionalFormatting sqref="S10:X32 AR10:AW32 K25:P32 AJ25:AO32">
    <cfRule type="expression" dxfId="4" priority="9">
      <formula>MOD(K10, 1)=0</formula>
    </cfRule>
    <cfRule type="expression" dxfId="3" priority="12">
      <formula>MOD(10*K10, 1)=0</formula>
    </cfRule>
  </conditionalFormatting>
  <conditionalFormatting sqref="BB18">
    <cfRule type="expression" dxfId="2" priority="7">
      <formula>ISNUMBER(BB18)</formula>
    </cfRule>
  </conditionalFormatting>
  <conditionalFormatting sqref="BB24">
    <cfRule type="expression" dxfId="1" priority="6">
      <formula>ISNUMBER(BB24)</formula>
    </cfRule>
  </conditionalFormatting>
  <conditionalFormatting sqref="BB29:BB31">
    <cfRule type="expression" dxfId="0" priority="1">
      <formula>ISNUMBER(BB29)</formula>
    </cfRule>
  </conditionalFormatting>
  <dataValidations count="4">
    <dataValidation type="list" allowBlank="1" showInputMessage="1" showErrorMessage="1" sqref="AA2 B2" xr:uid="{3960A620-FF8E-4737-8868-D3DC6527AA23}">
      <formula1>INPUT_Ploegnamen</formula1>
    </dataValidation>
    <dataValidation type="whole" allowBlank="1" showErrorMessage="1" errorTitle="Ongeldige invoer" error="Geef een getal in tussen 0 en 99" sqref="K20:P22 C20:H22 AB20:AG22 AJ20:AO22 K16:P18 C16:H18 AB16:AG18 AJ16:AO18 K11:P14 C11:H14 AJ11:AO14 AB11:AG14 C4:H9 K4:P9 AJ4:AO9 AB4:AG9" xr:uid="{97EE92FD-0E8A-4763-97BD-DF0BEF68ECF8}">
      <formula1>0</formula1>
      <formula2>99</formula2>
    </dataValidation>
    <dataValidation type="list" allowBlank="1" sqref="BB21" xr:uid="{BA6BC61E-1074-4903-B404-F5EF92E53B49}">
      <formula1>"Cash,Overschrijving"</formula1>
    </dataValidation>
    <dataValidation type="list" allowBlank="1" showInputMessage="1" showErrorMessage="1" sqref="BJ35" xr:uid="{AEC1D1A7-1BB1-4A4F-97DA-00B7DEC91883}">
      <formula1>"Ja,Neen"</formula1>
    </dataValidation>
  </dataValidations>
  <pageMargins left="0.23622047244094491" right="0.23622047244094491" top="0.74803149606299213" bottom="0.74803149606299213" header="0.31496062992125984" footer="0.31496062992125984"/>
  <pageSetup paperSize="9" scale="99" orientation="landscape" r:id="rId1"/>
  <headerFooter>
    <oddHeader>&amp;R&amp;"Segoe UI,Italic"&amp;8p. &amp;P / &amp;N - http://www.wimgielis.com</oddHeader>
  </headerFooter>
  <colBreaks count="2" manualBreakCount="2">
    <brk id="25" max="1048575" man="1"/>
    <brk id="50" max="3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41AE1-B908-4C0D-B8A9-A284679DF9FE}">
  <sheetPr codeName="Sheet2"/>
  <dimension ref="B2:K30"/>
  <sheetViews>
    <sheetView showGridLines="0" showRowColHeaders="0" workbookViewId="0"/>
  </sheetViews>
  <sheetFormatPr defaultRowHeight="12" x14ac:dyDescent="0.2"/>
  <cols>
    <col min="2" max="2" width="30.83203125" bestFit="1" customWidth="1"/>
    <col min="10" max="11" width="17" customWidth="1"/>
  </cols>
  <sheetData>
    <row r="2" spans="2:3" ht="24.75" thickBot="1" x14ac:dyDescent="0.5">
      <c r="B2" s="82" t="s">
        <v>43</v>
      </c>
    </row>
    <row r="3" spans="2:3" ht="12.75" thickTop="1" x14ac:dyDescent="0.2"/>
    <row r="4" spans="2:3" x14ac:dyDescent="0.2">
      <c r="B4" s="83" t="s">
        <v>53</v>
      </c>
      <c r="C4" s="84" t="str">
        <f ca="1">"         /         / " &amp; YEAR( TODAY())</f>
        <v xml:space="preserve">         /         / 2019</v>
      </c>
    </row>
    <row r="5" spans="2:3" x14ac:dyDescent="0.2">
      <c r="B5" s="83" t="s">
        <v>51</v>
      </c>
      <c r="C5" s="86" t="s">
        <v>59</v>
      </c>
    </row>
    <row r="6" spans="2:3" x14ac:dyDescent="0.2">
      <c r="B6" s="83" t="s">
        <v>49</v>
      </c>
      <c r="C6" s="86" t="s">
        <v>58</v>
      </c>
    </row>
    <row r="7" spans="2:3" x14ac:dyDescent="0.2">
      <c r="B7" s="83" t="s">
        <v>50</v>
      </c>
      <c r="C7" s="86" t="s">
        <v>57</v>
      </c>
    </row>
    <row r="8" spans="2:3" x14ac:dyDescent="0.2">
      <c r="B8" s="83" t="s">
        <v>48</v>
      </c>
      <c r="C8" s="86" t="s">
        <v>56</v>
      </c>
    </row>
    <row r="9" spans="2:3" x14ac:dyDescent="0.2">
      <c r="B9" s="83" t="s">
        <v>45</v>
      </c>
      <c r="C9" s="86" t="s">
        <v>55</v>
      </c>
    </row>
    <row r="10" spans="2:3" x14ac:dyDescent="0.2">
      <c r="B10" s="83"/>
      <c r="C10" s="84"/>
    </row>
    <row r="11" spans="2:3" x14ac:dyDescent="0.2">
      <c r="B11" s="83" t="s">
        <v>47</v>
      </c>
      <c r="C11" s="84" t="s">
        <v>0</v>
      </c>
    </row>
    <row r="12" spans="2:3" x14ac:dyDescent="0.2">
      <c r="B12" s="83" t="s">
        <v>46</v>
      </c>
      <c r="C12" s="84" t="s">
        <v>21</v>
      </c>
    </row>
    <row r="13" spans="2:3" x14ac:dyDescent="0.2">
      <c r="B13" s="83" t="s">
        <v>52</v>
      </c>
      <c r="C13" s="84" t="s">
        <v>54</v>
      </c>
    </row>
    <row r="16" spans="2:3" ht="24.75" thickBot="1" x14ac:dyDescent="0.5">
      <c r="B16" s="82" t="s">
        <v>42</v>
      </c>
    </row>
    <row r="17" spans="2:11" ht="12.75" thickTop="1" x14ac:dyDescent="0.2"/>
    <row r="18" spans="2:11" x14ac:dyDescent="0.2">
      <c r="B18" s="85" t="s">
        <v>44</v>
      </c>
      <c r="C18" s="84" t="str">
        <f>INPUT_Ploegnaam</f>
        <v>Lucyvo</v>
      </c>
    </row>
    <row r="19" spans="2:11" x14ac:dyDescent="0.2">
      <c r="C19" s="84" t="str">
        <f>INPUT_PloegNaamTegenstander</f>
        <v>Tegenstander</v>
      </c>
    </row>
    <row r="22" spans="2:11" ht="24.75" thickBot="1" x14ac:dyDescent="0.5">
      <c r="B22" s="82" t="s">
        <v>27</v>
      </c>
    </row>
    <row r="23" spans="2:11" ht="13.5" thickTop="1" thickBot="1" x14ac:dyDescent="0.25">
      <c r="J23" s="38" t="s">
        <v>25</v>
      </c>
      <c r="K23" s="38" t="s">
        <v>26</v>
      </c>
    </row>
    <row r="24" spans="2:11" x14ac:dyDescent="0.2">
      <c r="B24" s="11"/>
      <c r="C24" s="25">
        <v>5</v>
      </c>
      <c r="D24" s="26">
        <v>10</v>
      </c>
      <c r="E24" s="26">
        <v>15</v>
      </c>
      <c r="F24" s="26">
        <v>20</v>
      </c>
      <c r="G24" s="27">
        <v>25</v>
      </c>
      <c r="H24" s="28">
        <v>30</v>
      </c>
      <c r="J24" s="37">
        <v>-500</v>
      </c>
      <c r="K24" s="37">
        <v>5</v>
      </c>
    </row>
    <row r="25" spans="2:11" x14ac:dyDescent="0.2">
      <c r="B25" s="1"/>
      <c r="C25" s="29">
        <v>35</v>
      </c>
      <c r="D25" s="30">
        <v>40</v>
      </c>
      <c r="E25" s="30">
        <v>45</v>
      </c>
      <c r="F25" s="30">
        <v>50</v>
      </c>
      <c r="G25" s="31">
        <v>55</v>
      </c>
      <c r="H25" s="32">
        <v>60</v>
      </c>
      <c r="J25" s="37">
        <v>1</v>
      </c>
      <c r="K25" s="37">
        <v>4</v>
      </c>
    </row>
    <row r="26" spans="2:11" x14ac:dyDescent="0.2">
      <c r="B26" s="1"/>
      <c r="C26" s="29">
        <v>65</v>
      </c>
      <c r="D26" s="30">
        <v>70</v>
      </c>
      <c r="E26" s="30">
        <v>75</v>
      </c>
      <c r="F26" s="30">
        <v>80</v>
      </c>
      <c r="G26" s="31">
        <v>85</v>
      </c>
      <c r="H26" s="32">
        <v>90</v>
      </c>
      <c r="J26" s="37">
        <v>2</v>
      </c>
      <c r="K26" s="37">
        <v>3</v>
      </c>
    </row>
    <row r="27" spans="2:11" x14ac:dyDescent="0.2">
      <c r="B27" s="1"/>
      <c r="C27" s="29">
        <v>95</v>
      </c>
      <c r="D27" s="30">
        <v>100</v>
      </c>
      <c r="E27" s="30">
        <v>105</v>
      </c>
      <c r="F27" s="30">
        <v>110</v>
      </c>
      <c r="G27" s="31">
        <v>115</v>
      </c>
      <c r="H27" s="32">
        <v>120</v>
      </c>
      <c r="J27" s="37">
        <v>3</v>
      </c>
      <c r="K27" s="37">
        <v>2</v>
      </c>
    </row>
    <row r="28" spans="2:11" x14ac:dyDescent="0.2">
      <c r="B28" s="1"/>
      <c r="C28" s="29">
        <v>125</v>
      </c>
      <c r="D28" s="30">
        <v>130</v>
      </c>
      <c r="E28" s="30">
        <v>135</v>
      </c>
      <c r="F28" s="30">
        <v>140</v>
      </c>
      <c r="G28" s="31">
        <v>145</v>
      </c>
      <c r="H28" s="32">
        <v>150</v>
      </c>
      <c r="J28" s="37">
        <v>4</v>
      </c>
      <c r="K28" s="37">
        <v>1</v>
      </c>
    </row>
    <row r="29" spans="2:11" ht="12.75" thickBot="1" x14ac:dyDescent="0.25">
      <c r="B29" s="3"/>
      <c r="C29" s="33">
        <v>155</v>
      </c>
      <c r="D29" s="34">
        <v>160</v>
      </c>
      <c r="E29" s="34">
        <v>165</v>
      </c>
      <c r="F29" s="34">
        <v>170</v>
      </c>
      <c r="G29" s="35">
        <v>175</v>
      </c>
      <c r="H29" s="36">
        <v>180</v>
      </c>
      <c r="J29" s="37">
        <v>5</v>
      </c>
      <c r="K29" s="37">
        <v>0</v>
      </c>
    </row>
    <row r="30" spans="2:11" x14ac:dyDescent="0.2">
      <c r="J30" s="37">
        <v>500</v>
      </c>
      <c r="K30" s="37"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29</vt:i4>
      </vt:variant>
    </vt:vector>
  </HeadingPairs>
  <TitlesOfParts>
    <vt:vector size="31" baseType="lpstr">
      <vt:lpstr>Toog en kassa</vt:lpstr>
      <vt:lpstr>Help</vt:lpstr>
      <vt:lpstr>CALC_Bedragen</vt:lpstr>
      <vt:lpstr>CALC_Eenheden</vt:lpstr>
      <vt:lpstr>CALC_Subtotalen</vt:lpstr>
      <vt:lpstr>INPUT_Bedragen</vt:lpstr>
      <vt:lpstr>INPUT_Datum</vt:lpstr>
      <vt:lpstr>INPUT_Eenheden</vt:lpstr>
      <vt:lpstr>INPUT_Eigenaar</vt:lpstr>
      <vt:lpstr>INPUT_Kort_Bedrag</vt:lpstr>
      <vt:lpstr>INPUT_Korte_Tekst</vt:lpstr>
      <vt:lpstr>INPUT_Lang_Bedrag</vt:lpstr>
      <vt:lpstr>INPUT_Lange_Tekst</vt:lpstr>
      <vt:lpstr>INPUT_Ploegnaam</vt:lpstr>
      <vt:lpstr>INPUT_PloegNaamTegenstander</vt:lpstr>
      <vt:lpstr>INPUT_Ploegnamen</vt:lpstr>
      <vt:lpstr>INPUT_Stuks</vt:lpstr>
      <vt:lpstr>'Toog en kassa'!Print_Area</vt:lpstr>
      <vt:lpstr>SELECT_FORM_Aantal_Consumpties</vt:lpstr>
      <vt:lpstr>SELECT_FORM_Bedrag</vt:lpstr>
      <vt:lpstr>SELECT_INPUT_Bedragen_Afrekening</vt:lpstr>
      <vt:lpstr>SELECT_INPUT_Bedragen_Direct_Betaald</vt:lpstr>
      <vt:lpstr>SELECT_INPUT_Consumpties</vt:lpstr>
      <vt:lpstr>SELECT_INPUT_Consumpties_Turven</vt:lpstr>
      <vt:lpstr>SELECT_INPUT_Prijs_Per_Eenheid</vt:lpstr>
      <vt:lpstr>ZZZ_Restart_Clearen</vt:lpstr>
      <vt:lpstr>ZZZ_Restart_Input_Datum</vt:lpstr>
      <vt:lpstr>ZZZ_Restart_Input_Lang_Bedrag</vt:lpstr>
      <vt:lpstr>ZZZ_Restart_Input_Lange_Tekst</vt:lpstr>
      <vt:lpstr>ZZZ_Restart_Input_Stuks</vt:lpstr>
      <vt:lpstr>ZZZ_Restart_Neen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Wim Gielis</dc:creator>
  <cp:lastModifiedBy>Wim Gielis</cp:lastModifiedBy>
  <cp:lastPrinted>2019-11-27T17:12:27Z</cp:lastPrinted>
  <dcterms:created xsi:type="dcterms:W3CDTF">2019-09-03T21:05:58Z</dcterms:created>
  <dcterms:modified xsi:type="dcterms:W3CDTF">2019-12-22T18:45:20Z</dcterms:modified>
</cp:coreProperties>
</file>