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Wim\Website\xlwdfiles\"/>
    </mc:Choice>
  </mc:AlternateContent>
  <bookViews>
    <workbookView xWindow="-15" yWindow="-15" windowWidth="13455" windowHeight="9375" tabRatio="393"/>
  </bookViews>
  <sheets>
    <sheet name="MAIN" sheetId="1" r:id="rId1"/>
    <sheet name="Interpoleren" sheetId="3" r:id="rId2"/>
  </sheets>
  <definedNames>
    <definedName name="CALC_aanpassingswerken">MAIN!$M$24</definedName>
    <definedName name="CALC_aflossing">MAIN!$M$42</definedName>
    <definedName name="CALC_beschrijf">MAIN!$M$6</definedName>
    <definedName name="CALC_betaaldeinteresten">MAIN!$M$48</definedName>
    <definedName name="CALC_eigenmiddelenvooraankoop">MAIN!$M$15</definedName>
    <definedName name="CALC_eigenmiddelenvoorbudget">MAIN!$M$12</definedName>
    <definedName name="CALC_ereloonhypotheekbewaarder">MAIN!$M$60</definedName>
    <definedName name="CALC_ereloonnotarisaktekosten">MAIN!$M$57</definedName>
    <definedName name="CALC_ereloonnotarisregistratie">MAIN!$M$54</definedName>
    <definedName name="CALC_gebruikteeigenmiddelen">MAIN!$M$18</definedName>
    <definedName name="CALC_geschaaldeofficieleprijs">MAIN!$M$51</definedName>
    <definedName name="CALC_geschaaldtelenenbedrag">MAIN!$M$33</definedName>
    <definedName name="CALC_haalbaarheid">MAIN!$M$39</definedName>
    <definedName name="CALC_leencapaciteit">MAIN!$M$36</definedName>
    <definedName name="CALC_maxki">MAIN!$M$5</definedName>
    <definedName name="CALC_quotiteit">MAIN!$M$45</definedName>
    <definedName name="CALC_registratierechten">MAIN!$M$9</definedName>
    <definedName name="CALC_reservekapitaal">MAIN!$M$21</definedName>
    <definedName name="CALC_telenenbedrag">MAIN!$M$30</definedName>
    <definedName name="CALC_vraagprijs">MAIN!$M$2</definedName>
    <definedName name="CALC_werkbudget">MAIN!$M$27</definedName>
    <definedName name="CONST_dossierkostenbank">250</definedName>
    <definedName name="CONST_haalbaar">"HAALBAAR"</definedName>
    <definedName name="CONST_inschrijvingsrecht">0.0033</definedName>
    <definedName name="CONST_kigrootbeschrijf">0.1</definedName>
    <definedName name="CONST_kikleinbeschrijf">0.05</definedName>
    <definedName name="CONST_kortingregistratie">1000</definedName>
    <definedName name="CONST_maxkikleinbeschrijfgrootgezin">845</definedName>
    <definedName name="CONST_maxkikleinbeschrijfkleingezin">745</definedName>
    <definedName name="CONST_onhaalbaar">"ONHAALBAAR"</definedName>
    <definedName name="CONST_registratierechthypotheek">0.011</definedName>
    <definedName name="CONST_vrijstellingschijfregistratie">15000</definedName>
    <definedName name="INPUT_aanpassingswerken">MAIN!$K$32</definedName>
    <definedName name="INPUT_aktekostenaankoop">MAIN!$G$18</definedName>
    <definedName name="INPUT_aktekostenlening">MAIN!$K$12</definedName>
    <definedName name="INPUT_beschrijf">MAIN!$G$9</definedName>
    <definedName name="INPUT_eigenmiddelen">MAIN!$K$6</definedName>
    <definedName name="INPUT_gezinsgrootte">MAIN!$K$14</definedName>
    <definedName name="INPUT_interest">MAIN!$K$9</definedName>
    <definedName name="INPUT_ki">MAIN!$G$10</definedName>
    <definedName name="INPUT_looptijd">MAIN!$K$10</definedName>
    <definedName name="INPUT_maandloon">MAIN!$K$8</definedName>
    <definedName name="INPUT_meeneembaarheid">MAIN!$G$16</definedName>
    <definedName name="INPUT_optielening">MAIN!$K$25</definedName>
    <definedName name="INPUT_optieprijsberekening">MAIN!$K$16</definedName>
    <definedName name="INPUT_optieregistratierechten">MAIN!$G$12</definedName>
    <definedName name="INPUT_optiereservekapitaal">MAIN!$K$20</definedName>
    <definedName name="INPUT_prijsofficieel">MAIN!$G$6</definedName>
    <definedName name="INPUT_prijsofficieus">MAIN!$G$7</definedName>
    <definedName name="INPUT_reserveloon">MAIN!$K$7</definedName>
    <definedName name="INPUT_werkbudget">MAIN!$K$27</definedName>
    <definedName name="OUTPUT_aanpassingswerken">MAIN!$C$19</definedName>
    <definedName name="OUTPUT_aktekostenlening">MAIN!$C$11</definedName>
    <definedName name="OUTPUT_registratiekosten">MAIN!$C$7</definedName>
    <definedName name="OUTPUT_reservekapitaal">MAIN!$C$18</definedName>
    <definedName name="OUTPUT_totaalprijs">MAIN!$C$21</definedName>
    <definedName name="OUTPUT_vraagprijs">MAIN!$C$6</definedName>
    <definedName name="OUTPUT_werkbudget">MAIN!$C$20</definedName>
  </definedNames>
  <calcPr calcId="152511" iterate="1"/>
</workbook>
</file>

<file path=xl/calcChain.xml><?xml version="1.0" encoding="utf-8"?>
<calcChain xmlns="http://schemas.openxmlformats.org/spreadsheetml/2006/main">
  <c r="K32" i="1" l="1"/>
  <c r="M24" i="1"/>
  <c r="C19" i="1"/>
  <c r="M21" i="1"/>
  <c r="C18" i="1" s="1"/>
  <c r="M51" i="1"/>
  <c r="B6" i="1"/>
  <c r="M36" i="1"/>
  <c r="C33" i="1" s="1"/>
  <c r="M6" i="1"/>
  <c r="B8" i="1" s="1"/>
  <c r="C10" i="1"/>
  <c r="F28" i="1"/>
  <c r="M5" i="1"/>
  <c r="C40" i="3"/>
  <c r="B40" i="3"/>
  <c r="E6" i="3"/>
  <c r="B39" i="3" s="1" a="1"/>
  <c r="E7" i="3"/>
  <c r="E8" i="3"/>
  <c r="E9" i="3"/>
  <c r="E10" i="3"/>
  <c r="E11" i="3"/>
  <c r="E12" i="3"/>
  <c r="B3" i="3" s="1" a="1"/>
  <c r="E13" i="3"/>
  <c r="E14" i="3"/>
  <c r="E15" i="3"/>
  <c r="E16" i="3"/>
  <c r="E17" i="3"/>
  <c r="E18" i="3"/>
  <c r="E19" i="3"/>
  <c r="E20" i="3"/>
  <c r="E21" i="3"/>
  <c r="E22" i="3"/>
  <c r="E23" i="3"/>
  <c r="E24" i="3"/>
  <c r="E25" i="3"/>
  <c r="E26" i="3"/>
  <c r="E27" i="3"/>
  <c r="E28" i="3"/>
  <c r="E29" i="3"/>
  <c r="E30" i="3"/>
  <c r="E31" i="3"/>
  <c r="E32" i="3"/>
  <c r="E33" i="3"/>
  <c r="E34" i="3"/>
  <c r="E3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F27" i="1"/>
  <c r="M2" i="1"/>
  <c r="C6" i="1" s="1"/>
  <c r="M9" i="1"/>
  <c r="C8" i="1"/>
  <c r="B39" i="3" l="1"/>
  <c r="D39" i="3"/>
  <c r="C39" i="3"/>
  <c r="E39" i="3"/>
  <c r="B3" i="3"/>
  <c r="C3" i="3"/>
  <c r="E3" i="3"/>
  <c r="D3" i="3"/>
  <c r="F3" i="3"/>
  <c r="M54" i="1" l="1"/>
  <c r="C9" i="1" s="1"/>
  <c r="C7" i="1" s="1"/>
  <c r="C37" i="1" l="1"/>
  <c r="C11" i="1"/>
  <c r="C12" i="1"/>
  <c r="M12" i="1"/>
  <c r="C13" i="1"/>
  <c r="C14" i="1"/>
  <c r="C15" i="1"/>
  <c r="M15" i="1"/>
  <c r="C16" i="1"/>
  <c r="C17" i="1"/>
  <c r="M18" i="1"/>
  <c r="C20" i="1"/>
  <c r="C21" i="1"/>
  <c r="C25" i="1"/>
  <c r="C26" i="1"/>
  <c r="C27" i="1"/>
  <c r="M27" i="1"/>
  <c r="C28" i="1"/>
  <c r="C29" i="1"/>
  <c r="C30" i="1"/>
  <c r="M30" i="1"/>
  <c r="C31" i="1"/>
  <c r="M33" i="1"/>
  <c r="C34" i="1"/>
  <c r="C36" i="1"/>
  <c r="M39" i="1"/>
  <c r="M42" i="1"/>
  <c r="M45" i="1"/>
  <c r="M48" i="1"/>
  <c r="M57" i="1"/>
  <c r="M60" i="1"/>
</calcChain>
</file>

<file path=xl/comments1.xml><?xml version="1.0" encoding="utf-8"?>
<comments xmlns="http://schemas.openxmlformats.org/spreadsheetml/2006/main">
  <authors>
    <author>Wim Gielis</author>
  </authors>
  <commentList>
    <comment ref="J6" authorId="0" shapeId="0">
      <text>
        <r>
          <rPr>
            <b/>
            <sz val="8"/>
            <color indexed="81"/>
            <rFont val="Tahoma"/>
            <family val="2"/>
          </rPr>
          <t>Wim Gielis:</t>
        </r>
        <r>
          <rPr>
            <sz val="8"/>
            <color indexed="81"/>
            <rFont val="Tahoma"/>
            <family val="2"/>
          </rPr>
          <t xml:space="preserve">
Inclusief die van de (eventuele) partner.</t>
        </r>
      </text>
    </comment>
    <comment ref="J7" authorId="0" shapeId="0">
      <text>
        <r>
          <rPr>
            <b/>
            <sz val="8"/>
            <color indexed="81"/>
            <rFont val="Tahoma"/>
            <family val="2"/>
          </rPr>
          <t>Wim Gielis:</t>
        </r>
        <r>
          <rPr>
            <sz val="8"/>
            <color indexed="81"/>
            <rFont val="Tahoma"/>
            <family val="2"/>
          </rPr>
          <t xml:space="preserve">
Dit is wettelijk verplicht.</t>
        </r>
      </text>
    </comment>
    <comment ref="F10" authorId="0" shapeId="0">
      <text>
        <r>
          <rPr>
            <b/>
            <sz val="8"/>
            <color indexed="81"/>
            <rFont val="Tahoma"/>
            <family val="2"/>
          </rPr>
          <t>Wim Gielis:</t>
        </r>
        <r>
          <rPr>
            <sz val="8"/>
            <color indexed="81"/>
            <rFont val="Tahoma"/>
            <family val="2"/>
          </rPr>
          <t xml:space="preserve">
KI = kadastraal inkomen. Er geldt klein beschrijf tot en met een KI van 745 euro. Ligt het KI hoger, dan geldt groot beschrijf. Kleine beschrijf zorgt voor verlaagde registratierechten (5% op de verkoopprijs), bij groot beschrijf is dit 10%.</t>
        </r>
      </text>
    </comment>
    <comment ref="J12" authorId="0" shapeId="0">
      <text>
        <r>
          <rPr>
            <b/>
            <sz val="8"/>
            <color indexed="81"/>
            <rFont val="Tahoma"/>
            <family val="2"/>
          </rPr>
          <t xml:space="preserve">Wim Gielis:
</t>
        </r>
        <r>
          <rPr>
            <sz val="8"/>
            <color indexed="81"/>
            <rFont val="Tahoma"/>
            <family val="2"/>
          </rPr>
          <t>Dit bedrag ligt tussen 500 en 1000 euro, maar meestal is het ongeveer 525 euro.</t>
        </r>
      </text>
    </comment>
    <comment ref="F13" authorId="0" shapeId="0">
      <text>
        <r>
          <rPr>
            <b/>
            <sz val="8"/>
            <color indexed="81"/>
            <rFont val="Tahoma"/>
            <family val="2"/>
          </rPr>
          <t>Wim Gielis:</t>
        </r>
        <r>
          <rPr>
            <sz val="8"/>
            <color indexed="81"/>
            <rFont val="Tahoma"/>
            <family val="2"/>
          </rPr>
          <t xml:space="preserve">
Selecteer deze optie wanneer je al een andere woning of bouwgrond bezit, of niet van plan bent om van je aankoop je hoofdverblijfplaats te maken.</t>
        </r>
      </text>
    </comment>
    <comment ref="F14" authorId="0" shapeId="0">
      <text>
        <r>
          <rPr>
            <b/>
            <sz val="8"/>
            <color indexed="81"/>
            <rFont val="Tahoma"/>
            <family val="2"/>
          </rPr>
          <t xml:space="preserve">Wim Gielis:
</t>
        </r>
        <r>
          <rPr>
            <sz val="8"/>
            <color indexed="81"/>
            <rFont val="Tahoma"/>
            <family val="2"/>
          </rPr>
          <t>Selecteer deze optie wanneer je geen andere woning of bouwgrond bezit, en van plan bent om van je aankoop je hoofdverblijfplaats te maken. De vrijstelling (abattement) is van toepassing op de eerste schijf van 15000 euro.</t>
        </r>
      </text>
    </comment>
    <comment ref="J14" authorId="0" shapeId="0">
      <text>
        <r>
          <rPr>
            <b/>
            <sz val="8"/>
            <color indexed="81"/>
            <rFont val="Tahoma"/>
            <family val="2"/>
          </rPr>
          <t>Wim Gielis:</t>
        </r>
        <r>
          <rPr>
            <sz val="8"/>
            <color indexed="81"/>
            <rFont val="Tahoma"/>
            <family val="2"/>
          </rPr>
          <t xml:space="preserve">
Voor een klein gezin (tot en met 2 kinderen ten laste) is het maximale kadastraal inkomen dat recht geeft op klein beschrijf, 745 euro. Voor een groot gezin is dit verhoogd tot 845 euro.</t>
        </r>
      </text>
    </comment>
    <comment ref="F15" authorId="0" shapeId="0">
      <text>
        <r>
          <rPr>
            <b/>
            <sz val="8"/>
            <color indexed="81"/>
            <rFont val="Tahoma"/>
            <family val="2"/>
          </rPr>
          <t>Wim Gielis:</t>
        </r>
        <r>
          <rPr>
            <sz val="8"/>
            <color indexed="81"/>
            <rFont val="Tahoma"/>
            <family val="2"/>
          </rPr>
          <t xml:space="preserve">
Selecteer deze optie wanneer je geen andere woning of bouwgrond bezit, en van plan bent om van je aankoop je hoofdverblijfplaats te maken. Bovendien sluit je voor de aankoop een hypotheek af. Er is in dit geval dan een korting van 1000 euro voorzien, het zgn. bij-abattement.</t>
        </r>
      </text>
    </comment>
    <comment ref="F16" authorId="0" shapeId="0">
      <text>
        <r>
          <rPr>
            <b/>
            <sz val="8"/>
            <color indexed="81"/>
            <rFont val="Tahoma"/>
            <family val="2"/>
          </rPr>
          <t>Wim Gielis:</t>
        </r>
        <r>
          <rPr>
            <sz val="8"/>
            <color indexed="81"/>
            <rFont val="Tahoma"/>
            <family val="2"/>
          </rPr>
          <t xml:space="preserve">
Selecteer deze optie wanneer je reeds registratierechten hebt betaald bij de aankoop van een vorige woning. Vul de betaalde registratierechten in, met een maximum van 12500 euro.</t>
        </r>
      </text>
    </comment>
    <comment ref="J16" authorId="0" shapeId="0">
      <text>
        <r>
          <rPr>
            <b/>
            <sz val="8"/>
            <color indexed="81"/>
            <rFont val="Tahoma"/>
            <family val="2"/>
          </rPr>
          <t>Wim Gielis:</t>
        </r>
        <r>
          <rPr>
            <sz val="8"/>
            <color indexed="81"/>
            <rFont val="Tahoma"/>
            <family val="2"/>
          </rPr>
          <t xml:space="preserve">
Kies je 1, dan wordt de berekening gemaakt voor de opgegeven prijs van het onroerend goed. Kies je 2, dan wordt de maximale biedprijs berekend die nog mogelijk is (gegeven het ingevulde werkbudget).</t>
        </r>
      </text>
    </comment>
    <comment ref="F18" authorId="0" shapeId="0">
      <text>
        <r>
          <rPr>
            <b/>
            <sz val="8"/>
            <color indexed="81"/>
            <rFont val="Tahoma"/>
            <family val="2"/>
          </rPr>
          <t>Wim Gielis:</t>
        </r>
        <r>
          <rPr>
            <sz val="8"/>
            <color indexed="81"/>
            <rFont val="Tahoma"/>
            <family val="2"/>
          </rPr>
          <t xml:space="preserve">
Dit bedrag ligt tussen 500 en 1000 euro, maar meestal is het ongeveer 625 euro.</t>
        </r>
      </text>
    </comment>
    <comment ref="J22" authorId="0" shapeId="0">
      <text>
        <r>
          <rPr>
            <b/>
            <sz val="8"/>
            <color indexed="81"/>
            <rFont val="Tahoma"/>
            <family val="2"/>
          </rPr>
          <t>Wim Gielis:</t>
        </r>
        <r>
          <rPr>
            <sz val="8"/>
            <color indexed="81"/>
            <rFont val="Tahoma"/>
            <family val="2"/>
          </rPr>
          <t xml:space="preserve">
Haast bij elk onroerend goed komen er aanpassingen / uitbreidingen / herstellingen, ... kijken. Of bij de aankoop van de eerste woning moet je misschien nog een salon, kasten, enz. aankopen. Dit kan je hier in rekening brengen.</t>
        </r>
      </text>
    </comment>
    <comment ref="J23" authorId="0" shapeId="0">
      <text>
        <r>
          <rPr>
            <b/>
            <sz val="8"/>
            <color indexed="81"/>
            <rFont val="Tahoma"/>
            <family val="2"/>
          </rPr>
          <t>Wim Gielis:</t>
        </r>
        <r>
          <rPr>
            <sz val="8"/>
            <color indexed="81"/>
            <rFont val="Tahoma"/>
            <family val="2"/>
          </rPr>
          <t xml:space="preserve">
Dit percentage kan je bvb. zien als een werkbudget, afhankelijk van de waarde van het huis.</t>
        </r>
      </text>
    </comment>
    <comment ref="J27" authorId="0" shapeId="0">
      <text>
        <r>
          <rPr>
            <b/>
            <sz val="8"/>
            <color indexed="81"/>
            <rFont val="Tahoma"/>
            <family val="2"/>
          </rPr>
          <t>Wim Gielis:</t>
        </r>
        <r>
          <rPr>
            <sz val="8"/>
            <color indexed="81"/>
            <rFont val="Tahoma"/>
            <family val="2"/>
          </rPr>
          <t xml:space="preserve">
Haast bij elk onroerend goed komen er aanpassingen / uitbreidingen / herstellingen, ... kijken. Of bij de aankoop van de eerste woning moet je misschien nog een salon, kasten, enz. aankopen. Dit kan je hier in rekening brengen.</t>
        </r>
      </text>
    </comment>
    <comment ref="J28" authorId="0" shapeId="0">
      <text>
        <r>
          <rPr>
            <b/>
            <sz val="8"/>
            <color indexed="81"/>
            <rFont val="Tahoma"/>
            <family val="2"/>
          </rPr>
          <t>Wim Gielis:</t>
        </r>
        <r>
          <rPr>
            <sz val="8"/>
            <color indexed="81"/>
            <rFont val="Tahoma"/>
            <family val="2"/>
          </rPr>
          <t xml:space="preserve">
Dit percentage kan je bvb. zien als een werkbudget, afhankelijk van de waarde van het huis.</t>
        </r>
      </text>
    </comment>
    <comment ref="J32" authorId="0" shapeId="0">
      <text>
        <r>
          <rPr>
            <b/>
            <sz val="8"/>
            <color indexed="81"/>
            <rFont val="Tahoma"/>
            <family val="2"/>
          </rPr>
          <t>Wim Gielis:</t>
        </r>
        <r>
          <rPr>
            <sz val="8"/>
            <color indexed="81"/>
            <rFont val="Tahoma"/>
            <family val="2"/>
          </rPr>
          <t xml:space="preserve">
Zorg ervoor dat het totaalbedrag wel degelijk alle opgesomde bedragen meeneemt.</t>
        </r>
      </text>
    </comment>
    <comment ref="B36" authorId="0" shapeId="0">
      <text>
        <r>
          <rPr>
            <b/>
            <sz val="8"/>
            <color indexed="81"/>
            <rFont val="Tahoma"/>
            <family val="2"/>
          </rPr>
          <t>Wim Gielis:</t>
        </r>
        <r>
          <rPr>
            <sz val="8"/>
            <color indexed="81"/>
            <rFont val="Tahoma"/>
            <family val="2"/>
          </rPr>
          <t xml:space="preserve">
het te lenen bedrag als percentage van de waarde van het onroerend goed</t>
        </r>
      </text>
    </comment>
    <comment ref="B37" authorId="0" shapeId="0">
      <text>
        <r>
          <rPr>
            <b/>
            <sz val="8"/>
            <color indexed="81"/>
            <rFont val="Tahoma"/>
            <family val="2"/>
          </rPr>
          <t>Wim Gielis:</t>
        </r>
        <r>
          <rPr>
            <sz val="8"/>
            <color indexed="81"/>
            <rFont val="Tahoma"/>
            <family val="2"/>
          </rPr>
          <t xml:space="preserve">
Dit is de vraagprijs, vermeerderd met de registratiekosten.</t>
        </r>
      </text>
    </comment>
  </commentList>
</comments>
</file>

<file path=xl/sharedStrings.xml><?xml version="1.0" encoding="utf-8"?>
<sst xmlns="http://schemas.openxmlformats.org/spreadsheetml/2006/main" count="129" uniqueCount="110">
  <si>
    <t xml:space="preserve">Registratierechten </t>
  </si>
  <si>
    <t>Diverse aktekosten</t>
  </si>
  <si>
    <t>eigen middelen</t>
  </si>
  <si>
    <t>Ereloon notaris</t>
  </si>
  <si>
    <t>klein / groot beschrijf</t>
  </si>
  <si>
    <t>TOTAAL</t>
  </si>
  <si>
    <t>Onroerend goed</t>
  </si>
  <si>
    <t>Registratiekosten</t>
  </si>
  <si>
    <t>Coëfficiënten:</t>
  </si>
  <si>
    <t>netto maandloon</t>
  </si>
  <si>
    <t>interestpercentage</t>
  </si>
  <si>
    <t>RESULTATEN</t>
  </si>
  <si>
    <t>Financiering</t>
  </si>
  <si>
    <t>Wim Gielis</t>
  </si>
  <si>
    <t>looptijd lening in jaar</t>
  </si>
  <si>
    <t>over te houden nettoloon</t>
  </si>
  <si>
    <t>wat wordt er geleend?</t>
  </si>
  <si>
    <t>1: enkel de aankoop</t>
  </si>
  <si>
    <t>4: het maximum</t>
  </si>
  <si>
    <t>Werkbudget</t>
  </si>
  <si>
    <t>3: de aankoop + % vraagprijs</t>
  </si>
  <si>
    <t>▬</t>
  </si>
  <si>
    <t>Berekening klein / groot beschrijf</t>
  </si>
  <si>
    <t>2: de aankoop + werkbudget</t>
  </si>
  <si>
    <t>reservekapitaal</t>
  </si>
  <si>
    <t>1: geen reservekapitaal</t>
  </si>
  <si>
    <t>3: aantal maanden loon</t>
  </si>
  <si>
    <t>Berekening reservekapitaal</t>
  </si>
  <si>
    <t>Reservekapitaal</t>
  </si>
  <si>
    <t>Berekening werkbudget</t>
  </si>
  <si>
    <t>Berekening te lenen bedrag</t>
  </si>
  <si>
    <t>Berekening maximale leencapaciteit</t>
  </si>
  <si>
    <t>Berekening maandelijkse aflossing</t>
  </si>
  <si>
    <t>Berekening quotiteit</t>
  </si>
  <si>
    <t>Berekening betaalde interesten</t>
  </si>
  <si>
    <t>GEGEVENS ONROEREND GOED</t>
  </si>
  <si>
    <t>GEGEVENS AANKOPERS</t>
  </si>
  <si>
    <t xml:space="preserve">registratierechten </t>
  </si>
  <si>
    <t>1: Geen vrijstelling</t>
  </si>
  <si>
    <t>2: Vrijstelling (enige woning)</t>
  </si>
  <si>
    <t>4: Meeneembaarheid</t>
  </si>
  <si>
    <t>2: geef bedrag in</t>
  </si>
  <si>
    <t>Berekening registratierechten</t>
  </si>
  <si>
    <t>Ereloon notaris registratie</t>
  </si>
  <si>
    <t>Dossierkosten bank</t>
  </si>
  <si>
    <t>diverse aktekosten hypotheek</t>
  </si>
  <si>
    <t>diverse aktekosten lening</t>
  </si>
  <si>
    <t>kadastraal inkomen (KI)</t>
  </si>
  <si>
    <t>Inschrijvingsrecht</t>
  </si>
  <si>
    <t>Aktekosten lening</t>
  </si>
  <si>
    <t>Ereloon hypotheekbewaarder</t>
  </si>
  <si>
    <t>gezinsgrootte</t>
  </si>
  <si>
    <t>Berekening ereloon notaris registratie</t>
  </si>
  <si>
    <t>Berekening ereloon notaris aktekosten lening</t>
  </si>
  <si>
    <t>CALC_maxki</t>
  </si>
  <si>
    <t>CALC_registratierechten</t>
  </si>
  <si>
    <t>CALC_beschrijf</t>
  </si>
  <si>
    <t>CALC_gebruikteeigenmiddelen</t>
  </si>
  <si>
    <t>CALC_reservekapitaal</t>
  </si>
  <si>
    <t>CALC_werkbudget</t>
  </si>
  <si>
    <t>CALC_telenenbedrag</t>
  </si>
  <si>
    <t>CALC_geschaaldtelenenbedrag</t>
  </si>
  <si>
    <t>CALC_leencapaciteit</t>
  </si>
  <si>
    <t>CALC_aflossing</t>
  </si>
  <si>
    <t>CALC_quotiteit</t>
  </si>
  <si>
    <t>CALC_betaaldeinteresten</t>
  </si>
  <si>
    <t>Onroerend goed, lening en budget</t>
  </si>
  <si>
    <t>Berekening gebruikte eigen middelen voor aankoop</t>
  </si>
  <si>
    <t>Berekening gebruikte eigen middelen voor budget</t>
  </si>
  <si>
    <t>CALC_ereloonnotarisregistratie</t>
  </si>
  <si>
    <t>CALC_ereloonnotarisaktekosten</t>
  </si>
  <si>
    <t>CALC_ereloonhypotheekbewaarder</t>
  </si>
  <si>
    <t>CALC_eigenmiddelenvoorbudget</t>
  </si>
  <si>
    <t>CALC_eigenmiddelenvooraankoop</t>
  </si>
  <si>
    <t>Berekening effectief gebruikte eigen middelen</t>
  </si>
  <si>
    <t>CALC_vraagprijs</t>
  </si>
  <si>
    <t>prijs onroerend goed (officieus)</t>
  </si>
  <si>
    <t>prijs onroerend goed (officieel)</t>
  </si>
  <si>
    <t>Berekening vraagprijs</t>
  </si>
  <si>
    <t>Berekening geschaalde officiële prijs</t>
  </si>
  <si>
    <t>CALC_geschaaldeofficieleprijs</t>
  </si>
  <si>
    <t>Berekening geschaald te lenen bedrag</t>
  </si>
  <si>
    <t>3: Vrijstelling (enige woning) + korting</t>
  </si>
  <si>
    <t>Eigen middelen</t>
  </si>
  <si>
    <t>Te lenen bedrag</t>
  </si>
  <si>
    <t>Maandelijkse aflossing</t>
  </si>
  <si>
    <t>Quotiteit</t>
  </si>
  <si>
    <t>Betaalde interesten over de duur</t>
  </si>
  <si>
    <t>Maximale leencapaciteit</t>
  </si>
  <si>
    <t>5: een bepaald bedrag</t>
  </si>
  <si>
    <t>(leenbedrag als % van max)</t>
  </si>
  <si>
    <t>Prijs van het huis</t>
  </si>
  <si>
    <t>1: voor de ingegeven vraagprijs</t>
  </si>
  <si>
    <t>welke prijsberekening maken</t>
  </si>
  <si>
    <t>Berekening haalbaarheid</t>
  </si>
  <si>
    <t>CALC_haalbaarheid</t>
  </si>
  <si>
    <t>Totaal terugbetaald</t>
  </si>
  <si>
    <t>klein</t>
  </si>
  <si>
    <t>2: de maximale biedprijs geven</t>
  </si>
  <si>
    <t>badkamer</t>
  </si>
  <si>
    <t>4 kamers maken</t>
  </si>
  <si>
    <t>schilderen</t>
  </si>
  <si>
    <t>oprit / garage</t>
  </si>
  <si>
    <t>centrale verwarming</t>
  </si>
  <si>
    <t>Aanpassingswerken</t>
  </si>
  <si>
    <t>aanpassingswerken</t>
  </si>
  <si>
    <t>tuinaanleg</t>
  </si>
  <si>
    <t>Berekening aanpassingswerken</t>
  </si>
  <si>
    <t>CALC_aanpassingswerken</t>
  </si>
  <si>
    <t>Versie 3.3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</si>
</sst>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1" formatCode="_-* #,##0.00\ _€_-;\-* #,##0.00\ _€_-;_-* &quot;-&quot;??\ _€_-;_-@_-"/>
    <numFmt numFmtId="173" formatCode="_-* #,##0\ _€_-;\-* #,##0\ _€_-;_-* &quot;-&quot;??\ _€_-;_-@_-"/>
    <numFmt numFmtId="178" formatCode="0.0%"/>
    <numFmt numFmtId="183" formatCode="0.0000"/>
    <numFmt numFmtId="184" formatCode="0.000"/>
    <numFmt numFmtId="187" formatCode="d/mm/yy;@"/>
    <numFmt numFmtId="197" formatCode="_-* #,##0.000\ _€_-;\-* #,##0.000\ _€_-;_-* &quot;-&quot;??\ _€_-;_-@_-"/>
    <numFmt numFmtId="199" formatCode="_-* #,##0.00000\ _€_-;\-* #,##0.00000\ _€_-;_-* &quot;-&quot;??\ _€_-;_-@_-"/>
  </numFmts>
  <fonts count="13" x14ac:knownFonts="1">
    <font>
      <sz val="10"/>
      <name val="Arial"/>
    </font>
    <font>
      <sz val="10"/>
      <name val="Arial"/>
    </font>
    <font>
      <sz val="8"/>
      <name val="Arial"/>
      <family val="2"/>
    </font>
    <font>
      <b/>
      <sz val="10"/>
      <name val="Arial"/>
      <family val="2"/>
    </font>
    <font>
      <sz val="10"/>
      <name val="Arial"/>
      <family val="2"/>
    </font>
    <font>
      <b/>
      <sz val="10"/>
      <color indexed="9"/>
      <name val="Arial"/>
      <family val="2"/>
    </font>
    <font>
      <u/>
      <sz val="10"/>
      <color indexed="12"/>
      <name val="Arial"/>
      <family val="2"/>
    </font>
    <font>
      <sz val="8"/>
      <color indexed="81"/>
      <name val="Tahoma"/>
      <family val="2"/>
    </font>
    <font>
      <b/>
      <sz val="8"/>
      <color indexed="81"/>
      <name val="Tahoma"/>
      <family val="2"/>
    </font>
    <font>
      <sz val="8"/>
      <color indexed="81"/>
      <name val="Tahoma"/>
      <family val="2"/>
    </font>
    <font>
      <sz val="10"/>
      <color indexed="8"/>
      <name val="Arial"/>
      <family val="2"/>
    </font>
    <font>
      <b/>
      <sz val="10"/>
      <color indexed="8"/>
      <name val="Arial"/>
      <family val="2"/>
    </font>
    <font>
      <b/>
      <sz val="10"/>
      <color indexed="48"/>
      <name val="Arial"/>
      <family val="2"/>
    </font>
  </fonts>
  <fills count="8">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indexed="43"/>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FF0000"/>
        <bgColor indexed="64"/>
      </patternFill>
    </fill>
  </fills>
  <borders count="1">
    <border>
      <left/>
      <right/>
      <top/>
      <bottom/>
      <diagonal/>
    </border>
  </borders>
  <cellStyleXfs count="4">
    <xf numFmtId="0" fontId="0" fillId="0" borderId="0"/>
    <xf numFmtId="171"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47">
    <xf numFmtId="0" fontId="0" fillId="0" borderId="0" xfId="0"/>
    <xf numFmtId="173" fontId="0" fillId="0" borderId="0" xfId="1" applyNumberFormat="1" applyFont="1"/>
    <xf numFmtId="173" fontId="0" fillId="0" borderId="0" xfId="0" applyNumberFormat="1"/>
    <xf numFmtId="173" fontId="3" fillId="0" borderId="0" xfId="1" applyNumberFormat="1" applyFont="1"/>
    <xf numFmtId="178" fontId="0" fillId="0" borderId="0" xfId="3" applyNumberFormat="1" applyFont="1"/>
    <xf numFmtId="0" fontId="3" fillId="0" borderId="0" xfId="0" applyFont="1"/>
    <xf numFmtId="0" fontId="3" fillId="0" borderId="0" xfId="0" applyFont="1" applyAlignment="1">
      <alignment horizontal="right"/>
    </xf>
    <xf numFmtId="0" fontId="3" fillId="2" borderId="0" xfId="0" applyFont="1" applyFill="1"/>
    <xf numFmtId="171" fontId="4" fillId="0" borderId="0" xfId="1" applyNumberFormat="1" applyFont="1"/>
    <xf numFmtId="0" fontId="4" fillId="0" borderId="0" xfId="1" applyNumberFormat="1" applyFont="1"/>
    <xf numFmtId="0" fontId="0" fillId="0" borderId="0" xfId="0" applyNumberFormat="1"/>
    <xf numFmtId="173" fontId="5" fillId="3" borderId="0" xfId="1" applyNumberFormat="1" applyFont="1" applyFill="1"/>
    <xf numFmtId="0" fontId="0" fillId="0" borderId="0" xfId="0" applyAlignment="1">
      <alignment horizontal="left" indent="1"/>
    </xf>
    <xf numFmtId="0" fontId="3" fillId="0" borderId="0" xfId="0" applyFont="1" applyFill="1"/>
    <xf numFmtId="0" fontId="0" fillId="0" borderId="0" xfId="0" applyFill="1"/>
    <xf numFmtId="173" fontId="0" fillId="0" borderId="0" xfId="0" applyNumberFormat="1" applyFill="1"/>
    <xf numFmtId="187" fontId="0" fillId="0" borderId="0" xfId="0" applyNumberFormat="1" applyAlignment="1">
      <alignment horizontal="left"/>
    </xf>
    <xf numFmtId="0" fontId="6" fillId="0" borderId="0" xfId="2" applyAlignment="1" applyProtection="1"/>
    <xf numFmtId="9" fontId="0" fillId="0" borderId="0" xfId="3" applyNumberFormat="1" applyFont="1"/>
    <xf numFmtId="0" fontId="0" fillId="2" borderId="0" xfId="0" applyFill="1"/>
    <xf numFmtId="173" fontId="0" fillId="2" borderId="0" xfId="0" applyNumberFormat="1" applyFill="1"/>
    <xf numFmtId="0" fontId="0" fillId="0" borderId="0" xfId="0" applyAlignment="1">
      <alignment horizontal="right"/>
    </xf>
    <xf numFmtId="173" fontId="0" fillId="4" borderId="0" xfId="0" applyNumberFormat="1" applyFill="1"/>
    <xf numFmtId="173" fontId="0" fillId="4" borderId="0" xfId="0" applyNumberFormat="1" applyFill="1" applyAlignment="1">
      <alignment horizontal="center"/>
    </xf>
    <xf numFmtId="0" fontId="4" fillId="0" borderId="0" xfId="0" applyFont="1" applyFill="1" applyAlignment="1">
      <alignment horizontal="left" indent="1"/>
    </xf>
    <xf numFmtId="0" fontId="4" fillId="0" borderId="0" xfId="0" applyFont="1" applyAlignment="1">
      <alignment horizontal="left" indent="1"/>
    </xf>
    <xf numFmtId="173" fontId="0" fillId="0" borderId="0" xfId="0" applyNumberFormat="1" applyFill="1" applyAlignment="1">
      <alignment horizontal="center"/>
    </xf>
    <xf numFmtId="184" fontId="0" fillId="0" borderId="0" xfId="0" applyNumberFormat="1"/>
    <xf numFmtId="183" fontId="0" fillId="0" borderId="0" xfId="0" applyNumberFormat="1"/>
    <xf numFmtId="171" fontId="0" fillId="0" borderId="0" xfId="0" applyNumberFormat="1"/>
    <xf numFmtId="197" fontId="0" fillId="0" borderId="0" xfId="0" applyNumberFormat="1"/>
    <xf numFmtId="199" fontId="0" fillId="0" borderId="0" xfId="0" applyNumberFormat="1"/>
    <xf numFmtId="173" fontId="10" fillId="0" borderId="0" xfId="1" applyNumberFormat="1" applyFont="1" applyFill="1"/>
    <xf numFmtId="173" fontId="3" fillId="0" borderId="0" xfId="0" applyNumberFormat="1" applyFont="1"/>
    <xf numFmtId="173" fontId="11" fillId="0" borderId="0" xfId="1" applyNumberFormat="1" applyFont="1" applyFill="1"/>
    <xf numFmtId="173" fontId="3" fillId="0" borderId="0" xfId="1" applyNumberFormat="1" applyFont="1" applyFill="1"/>
    <xf numFmtId="171" fontId="0" fillId="0" borderId="0" xfId="0" applyNumberFormat="1" applyFill="1"/>
    <xf numFmtId="173" fontId="12" fillId="0" borderId="0" xfId="1" applyNumberFormat="1" applyFont="1"/>
    <xf numFmtId="10" fontId="0" fillId="4" borderId="0" xfId="3" applyNumberFormat="1" applyFont="1" applyFill="1"/>
    <xf numFmtId="0" fontId="0" fillId="0" borderId="0" xfId="0" applyNumberFormat="1" applyAlignment="1">
      <alignment horizontal="center"/>
    </xf>
    <xf numFmtId="183" fontId="0" fillId="0" borderId="0" xfId="0" applyNumberFormat="1" applyAlignment="1"/>
    <xf numFmtId="197" fontId="0" fillId="0" borderId="0" xfId="0" applyNumberFormat="1" applyAlignment="1"/>
    <xf numFmtId="171" fontId="0" fillId="0" borderId="0" xfId="0" applyNumberFormat="1" applyAlignment="1"/>
    <xf numFmtId="2" fontId="0" fillId="0" borderId="0" xfId="0" applyNumberFormat="1" applyAlignment="1"/>
    <xf numFmtId="0" fontId="3" fillId="5" borderId="0" xfId="0" applyFont="1" applyFill="1"/>
    <xf numFmtId="0" fontId="3" fillId="6" borderId="0" xfId="0" applyFont="1" applyFill="1"/>
    <xf numFmtId="0" fontId="3" fillId="7" borderId="0" xfId="0" applyFont="1" applyFill="1"/>
  </cellXfs>
  <cellStyles count="4">
    <cellStyle name="Comma" xfId="1" builtinId="3"/>
    <cellStyle name="Hyperlink" xfId="2" builtinId="8"/>
    <cellStyle name="Normal" xfId="0" builtinId="0"/>
    <cellStyle name="Percent" xfId="3" builtinId="5"/>
  </cellStyles>
  <dxfs count="16">
    <dxf>
      <font>
        <b/>
        <i val="0"/>
        <condense val="0"/>
        <extend val="0"/>
        <color indexed="9"/>
      </font>
      <fill>
        <patternFill>
          <bgColor indexed="1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633715719825505E-2"/>
          <c:y val="5.8823654564216038E-2"/>
          <c:w val="0.88118865132165369"/>
          <c:h val="0.74945693222556731"/>
        </c:manualLayout>
      </c:layout>
      <c:lineChart>
        <c:grouping val="standard"/>
        <c:varyColors val="0"/>
        <c:ser>
          <c:idx val="0"/>
          <c:order val="0"/>
          <c:tx>
            <c:strRef>
              <c:f>Interpoleren!$C$42</c:f>
              <c:strCache>
                <c:ptCount val="1"/>
                <c:pt idx="0">
                  <c:v>Ereloon notaris</c:v>
                </c:pt>
              </c:strCache>
            </c:strRef>
          </c:tx>
          <c:spPr>
            <a:ln w="38100">
              <a:solidFill>
                <a:srgbClr val="FF0000"/>
              </a:solidFill>
              <a:prstDash val="solid"/>
            </a:ln>
          </c:spPr>
          <c:marker>
            <c:symbol val="none"/>
          </c:marker>
          <c:trendline>
            <c:spPr>
              <a:ln w="25400">
                <a:solidFill>
                  <a:srgbClr val="000000"/>
                </a:solidFill>
                <a:prstDash val="solid"/>
              </a:ln>
            </c:spPr>
            <c:trendlineType val="poly"/>
            <c:order val="3"/>
            <c:dispRSqr val="1"/>
            <c:dispEq val="1"/>
            <c:trendlineLbl>
              <c:layout>
                <c:manualLayout>
                  <c:x val="3.2918482637844595E-3"/>
                  <c:y val="-7.5507757477823276E-2"/>
                </c:manualLayout>
              </c:layout>
              <c:numFmt formatCode="General" sourceLinked="0"/>
              <c:spPr>
                <a:noFill/>
                <a:ln w="25400">
                  <a:noFill/>
                </a:ln>
              </c:spPr>
              <c:txPr>
                <a:bodyPr/>
                <a:lstStyle/>
                <a:p>
                  <a:pPr>
                    <a:defRPr sz="1150" b="0" i="0" u="none" strike="noStrike" baseline="0">
                      <a:solidFill>
                        <a:srgbClr val="000000"/>
                      </a:solidFill>
                      <a:latin typeface="Arial"/>
                      <a:ea typeface="Arial"/>
                      <a:cs typeface="Arial"/>
                    </a:defRPr>
                  </a:pPr>
                  <a:endParaRPr lang="nl-BE"/>
                </a:p>
              </c:txPr>
            </c:trendlineLbl>
          </c:trendline>
          <c:cat>
            <c:numRef>
              <c:f>Interpoleren!$B$43:$B$72</c:f>
              <c:numCache>
                <c:formatCode>General</c:formatCode>
                <c:ptCount val="30"/>
                <c:pt idx="0">
                  <c:v>10000</c:v>
                </c:pt>
                <c:pt idx="1">
                  <c:v>20000</c:v>
                </c:pt>
                <c:pt idx="2">
                  <c:v>30000</c:v>
                </c:pt>
                <c:pt idx="3">
                  <c:v>40000</c:v>
                </c:pt>
                <c:pt idx="4">
                  <c:v>50000</c:v>
                </c:pt>
                <c:pt idx="5">
                  <c:v>60000</c:v>
                </c:pt>
                <c:pt idx="6">
                  <c:v>70000</c:v>
                </c:pt>
                <c:pt idx="7">
                  <c:v>80000</c:v>
                </c:pt>
                <c:pt idx="8">
                  <c:v>90000</c:v>
                </c:pt>
                <c:pt idx="9">
                  <c:v>100000</c:v>
                </c:pt>
                <c:pt idx="10">
                  <c:v>110000</c:v>
                </c:pt>
                <c:pt idx="11">
                  <c:v>120000</c:v>
                </c:pt>
                <c:pt idx="12">
                  <c:v>130000</c:v>
                </c:pt>
                <c:pt idx="13">
                  <c:v>140000</c:v>
                </c:pt>
                <c:pt idx="14">
                  <c:v>150000</c:v>
                </c:pt>
                <c:pt idx="15">
                  <c:v>160000</c:v>
                </c:pt>
                <c:pt idx="16">
                  <c:v>170000</c:v>
                </c:pt>
                <c:pt idx="17">
                  <c:v>180000</c:v>
                </c:pt>
                <c:pt idx="18">
                  <c:v>190000</c:v>
                </c:pt>
                <c:pt idx="19">
                  <c:v>200000</c:v>
                </c:pt>
                <c:pt idx="20">
                  <c:v>210000</c:v>
                </c:pt>
                <c:pt idx="21">
                  <c:v>220000</c:v>
                </c:pt>
                <c:pt idx="22">
                  <c:v>230000</c:v>
                </c:pt>
                <c:pt idx="23">
                  <c:v>240000</c:v>
                </c:pt>
                <c:pt idx="24">
                  <c:v>250000</c:v>
                </c:pt>
                <c:pt idx="25">
                  <c:v>260000</c:v>
                </c:pt>
                <c:pt idx="26">
                  <c:v>270000</c:v>
                </c:pt>
                <c:pt idx="27">
                  <c:v>280000</c:v>
                </c:pt>
                <c:pt idx="28">
                  <c:v>290000</c:v>
                </c:pt>
                <c:pt idx="29">
                  <c:v>300000</c:v>
                </c:pt>
              </c:numCache>
            </c:numRef>
          </c:cat>
          <c:val>
            <c:numRef>
              <c:f>Interpoleren!$C$43:$C$72</c:f>
              <c:numCache>
                <c:formatCode>_-* #,##0.00\ _€_-;\-* #,##0.00\ _€_-;_-* "-"??\ _€_-;_-@_-</c:formatCode>
                <c:ptCount val="30"/>
                <c:pt idx="0">
                  <c:v>162</c:v>
                </c:pt>
                <c:pt idx="1">
                  <c:v>288</c:v>
                </c:pt>
                <c:pt idx="2">
                  <c:v>379</c:v>
                </c:pt>
                <c:pt idx="3">
                  <c:v>447</c:v>
                </c:pt>
                <c:pt idx="4">
                  <c:v>506</c:v>
                </c:pt>
                <c:pt idx="5">
                  <c:v>551</c:v>
                </c:pt>
                <c:pt idx="6">
                  <c:v>583</c:v>
                </c:pt>
                <c:pt idx="7">
                  <c:v>606</c:v>
                </c:pt>
                <c:pt idx="8">
                  <c:v>629</c:v>
                </c:pt>
                <c:pt idx="9">
                  <c:v>652</c:v>
                </c:pt>
                <c:pt idx="10">
                  <c:v>675</c:v>
                </c:pt>
                <c:pt idx="11">
                  <c:v>697</c:v>
                </c:pt>
                <c:pt idx="12">
                  <c:v>720</c:v>
                </c:pt>
                <c:pt idx="13">
                  <c:v>743</c:v>
                </c:pt>
                <c:pt idx="14">
                  <c:v>766</c:v>
                </c:pt>
                <c:pt idx="15">
                  <c:v>789</c:v>
                </c:pt>
                <c:pt idx="16">
                  <c:v>811</c:v>
                </c:pt>
                <c:pt idx="17">
                  <c:v>834</c:v>
                </c:pt>
                <c:pt idx="18">
                  <c:v>857</c:v>
                </c:pt>
                <c:pt idx="19">
                  <c:v>880</c:v>
                </c:pt>
                <c:pt idx="20">
                  <c:v>903</c:v>
                </c:pt>
                <c:pt idx="21">
                  <c:v>925</c:v>
                </c:pt>
                <c:pt idx="22">
                  <c:v>948</c:v>
                </c:pt>
                <c:pt idx="23">
                  <c:v>971</c:v>
                </c:pt>
                <c:pt idx="24">
                  <c:v>994</c:v>
                </c:pt>
                <c:pt idx="25">
                  <c:v>998</c:v>
                </c:pt>
                <c:pt idx="26">
                  <c:v>1003</c:v>
                </c:pt>
                <c:pt idx="27">
                  <c:v>1008</c:v>
                </c:pt>
                <c:pt idx="28">
                  <c:v>1012</c:v>
                </c:pt>
                <c:pt idx="29">
                  <c:v>1017</c:v>
                </c:pt>
              </c:numCache>
            </c:numRef>
          </c:val>
          <c:smooth val="0"/>
        </c:ser>
        <c:ser>
          <c:idx val="2"/>
          <c:order val="1"/>
          <c:tx>
            <c:strRef>
              <c:f>Interpoleren!$C$5</c:f>
              <c:strCache>
                <c:ptCount val="1"/>
                <c:pt idx="0">
                  <c:v>Ereloon notaris registratie</c:v>
                </c:pt>
              </c:strCache>
            </c:strRef>
          </c:tx>
          <c:spPr>
            <a:ln w="38100">
              <a:solidFill>
                <a:srgbClr val="00FF00"/>
              </a:solidFill>
              <a:prstDash val="solid"/>
            </a:ln>
          </c:spPr>
          <c:marker>
            <c:symbol val="none"/>
          </c:marker>
          <c:trendline>
            <c:spPr>
              <a:ln w="25400">
                <a:solidFill>
                  <a:srgbClr val="000000"/>
                </a:solidFill>
                <a:prstDash val="solid"/>
              </a:ln>
            </c:spPr>
            <c:trendlineType val="poly"/>
            <c:order val="4"/>
            <c:dispRSqr val="1"/>
            <c:dispEq val="1"/>
            <c:trendlineLbl>
              <c:layout>
                <c:manualLayout>
                  <c:x val="-0.3063288628354458"/>
                  <c:y val="4.5206769116608106E-2"/>
                </c:manualLayout>
              </c:layout>
              <c:numFmt formatCode="General" sourceLinked="0"/>
              <c:spPr>
                <a:noFill/>
                <a:ln w="25400">
                  <a:noFill/>
                </a:ln>
              </c:spPr>
              <c:txPr>
                <a:bodyPr/>
                <a:lstStyle/>
                <a:p>
                  <a:pPr>
                    <a:defRPr sz="1150" b="0" i="0" u="none" strike="noStrike" baseline="0">
                      <a:solidFill>
                        <a:srgbClr val="000000"/>
                      </a:solidFill>
                      <a:latin typeface="Arial"/>
                      <a:ea typeface="Arial"/>
                      <a:cs typeface="Arial"/>
                    </a:defRPr>
                  </a:pPr>
                  <a:endParaRPr lang="nl-BE"/>
                </a:p>
              </c:txPr>
            </c:trendlineLbl>
          </c:trendline>
          <c:cat>
            <c:numRef>
              <c:f>Interpoleren!$B$6:$B$35</c:f>
              <c:numCache>
                <c:formatCode>General</c:formatCode>
                <c:ptCount val="30"/>
                <c:pt idx="0">
                  <c:v>10000</c:v>
                </c:pt>
                <c:pt idx="1">
                  <c:v>20000</c:v>
                </c:pt>
                <c:pt idx="2">
                  <c:v>30000</c:v>
                </c:pt>
                <c:pt idx="3">
                  <c:v>40000</c:v>
                </c:pt>
                <c:pt idx="4">
                  <c:v>50000</c:v>
                </c:pt>
                <c:pt idx="5">
                  <c:v>60000</c:v>
                </c:pt>
                <c:pt idx="6">
                  <c:v>70000</c:v>
                </c:pt>
                <c:pt idx="7">
                  <c:v>80000</c:v>
                </c:pt>
                <c:pt idx="8">
                  <c:v>90000</c:v>
                </c:pt>
                <c:pt idx="9">
                  <c:v>100000</c:v>
                </c:pt>
                <c:pt idx="10">
                  <c:v>110000</c:v>
                </c:pt>
                <c:pt idx="11">
                  <c:v>120000</c:v>
                </c:pt>
                <c:pt idx="12">
                  <c:v>130000</c:v>
                </c:pt>
                <c:pt idx="13">
                  <c:v>140000</c:v>
                </c:pt>
                <c:pt idx="14">
                  <c:v>150000</c:v>
                </c:pt>
                <c:pt idx="15">
                  <c:v>160000</c:v>
                </c:pt>
                <c:pt idx="16">
                  <c:v>170000</c:v>
                </c:pt>
                <c:pt idx="17">
                  <c:v>180000</c:v>
                </c:pt>
                <c:pt idx="18">
                  <c:v>190000</c:v>
                </c:pt>
                <c:pt idx="19">
                  <c:v>200000</c:v>
                </c:pt>
                <c:pt idx="20">
                  <c:v>210000</c:v>
                </c:pt>
                <c:pt idx="21">
                  <c:v>220000</c:v>
                </c:pt>
                <c:pt idx="22">
                  <c:v>230000</c:v>
                </c:pt>
                <c:pt idx="23">
                  <c:v>240000</c:v>
                </c:pt>
                <c:pt idx="24">
                  <c:v>250000</c:v>
                </c:pt>
                <c:pt idx="25">
                  <c:v>260000</c:v>
                </c:pt>
                <c:pt idx="26">
                  <c:v>270000</c:v>
                </c:pt>
                <c:pt idx="27">
                  <c:v>280000</c:v>
                </c:pt>
                <c:pt idx="28">
                  <c:v>290000</c:v>
                </c:pt>
                <c:pt idx="29">
                  <c:v>300000</c:v>
                </c:pt>
              </c:numCache>
            </c:numRef>
          </c:cat>
          <c:val>
            <c:numRef>
              <c:f>Interpoleren!$C$6:$C$35</c:f>
              <c:numCache>
                <c:formatCode>General</c:formatCode>
                <c:ptCount val="30"/>
                <c:pt idx="0">
                  <c:v>500</c:v>
                </c:pt>
                <c:pt idx="1">
                  <c:v>684</c:v>
                </c:pt>
                <c:pt idx="2">
                  <c:v>912</c:v>
                </c:pt>
                <c:pt idx="3">
                  <c:v>1083</c:v>
                </c:pt>
                <c:pt idx="4">
                  <c:v>1228</c:v>
                </c:pt>
                <c:pt idx="5">
                  <c:v>1342</c:v>
                </c:pt>
                <c:pt idx="6">
                  <c:v>1423</c:v>
                </c:pt>
                <c:pt idx="7">
                  <c:v>1480</c:v>
                </c:pt>
                <c:pt idx="8">
                  <c:v>1537</c:v>
                </c:pt>
                <c:pt idx="9">
                  <c:v>1594</c:v>
                </c:pt>
                <c:pt idx="10">
                  <c:v>1651</c:v>
                </c:pt>
                <c:pt idx="11">
                  <c:v>1708</c:v>
                </c:pt>
                <c:pt idx="12">
                  <c:v>1765</c:v>
                </c:pt>
                <c:pt idx="13">
                  <c:v>1822</c:v>
                </c:pt>
                <c:pt idx="14">
                  <c:v>1879</c:v>
                </c:pt>
                <c:pt idx="15">
                  <c:v>1936</c:v>
                </c:pt>
                <c:pt idx="16">
                  <c:v>1993</c:v>
                </c:pt>
                <c:pt idx="17">
                  <c:v>2050</c:v>
                </c:pt>
                <c:pt idx="18">
                  <c:v>2107</c:v>
                </c:pt>
                <c:pt idx="19">
                  <c:v>2164</c:v>
                </c:pt>
                <c:pt idx="20">
                  <c:v>2221</c:v>
                </c:pt>
                <c:pt idx="21">
                  <c:v>2278</c:v>
                </c:pt>
                <c:pt idx="22">
                  <c:v>2335</c:v>
                </c:pt>
                <c:pt idx="23">
                  <c:v>2392</c:v>
                </c:pt>
                <c:pt idx="24">
                  <c:v>2449</c:v>
                </c:pt>
                <c:pt idx="25">
                  <c:v>2455</c:v>
                </c:pt>
                <c:pt idx="26">
                  <c:v>2461</c:v>
                </c:pt>
                <c:pt idx="27">
                  <c:v>2466</c:v>
                </c:pt>
                <c:pt idx="28">
                  <c:v>2472</c:v>
                </c:pt>
                <c:pt idx="29">
                  <c:v>2478</c:v>
                </c:pt>
              </c:numCache>
            </c:numRef>
          </c:val>
          <c:smooth val="0"/>
        </c:ser>
        <c:ser>
          <c:idx val="1"/>
          <c:order val="2"/>
          <c:tx>
            <c:strRef>
              <c:f>Interpoleren!$D$42</c:f>
              <c:strCache>
                <c:ptCount val="1"/>
                <c:pt idx="0">
                  <c:v>Ereloon hypotheekbewaarder</c:v>
                </c:pt>
              </c:strCache>
            </c:strRef>
          </c:tx>
          <c:spPr>
            <a:ln w="38100">
              <a:solidFill>
                <a:srgbClr val="3366FF"/>
              </a:solidFill>
              <a:prstDash val="solid"/>
            </a:ln>
          </c:spPr>
          <c:marker>
            <c:symbol val="none"/>
          </c:marker>
          <c:trendline>
            <c:spPr>
              <a:ln w="25400">
                <a:solidFill>
                  <a:srgbClr val="000000"/>
                </a:solidFill>
                <a:prstDash val="solid"/>
              </a:ln>
            </c:spPr>
            <c:trendlineType val="linear"/>
            <c:dispRSqr val="1"/>
            <c:dispEq val="1"/>
            <c:trendlineLbl>
              <c:layout>
                <c:manualLayout>
                  <c:x val="-0.11872949927523335"/>
                  <c:y val="-5.7342986360761801E-2"/>
                </c:manualLayout>
              </c:layout>
              <c:numFmt formatCode="General" sourceLinked="0"/>
              <c:spPr>
                <a:noFill/>
                <a:ln w="25400">
                  <a:noFill/>
                </a:ln>
              </c:spPr>
              <c:txPr>
                <a:bodyPr/>
                <a:lstStyle/>
                <a:p>
                  <a:pPr>
                    <a:defRPr sz="1150" b="0" i="0" u="none" strike="noStrike" baseline="0">
                      <a:solidFill>
                        <a:srgbClr val="000000"/>
                      </a:solidFill>
                      <a:latin typeface="Arial"/>
                      <a:ea typeface="Arial"/>
                      <a:cs typeface="Arial"/>
                    </a:defRPr>
                  </a:pPr>
                  <a:endParaRPr lang="nl-BE"/>
                </a:p>
              </c:txPr>
            </c:trendlineLbl>
          </c:trendline>
          <c:val>
            <c:numRef>
              <c:f>Interpoleren!$D$43:$D$72</c:f>
              <c:numCache>
                <c:formatCode>_-* #,##0.00\ _€_-;\-* #,##0.00\ _€_-;_-* "-"??\ _€_-;_-@_-</c:formatCode>
                <c:ptCount val="30"/>
                <c:pt idx="0">
                  <c:v>55</c:v>
                </c:pt>
                <c:pt idx="1">
                  <c:v>55</c:v>
                </c:pt>
                <c:pt idx="2">
                  <c:v>74</c:v>
                </c:pt>
                <c:pt idx="3">
                  <c:v>74</c:v>
                </c:pt>
                <c:pt idx="4">
                  <c:v>93</c:v>
                </c:pt>
                <c:pt idx="5">
                  <c:v>93</c:v>
                </c:pt>
                <c:pt idx="6">
                  <c:v>112</c:v>
                </c:pt>
                <c:pt idx="7">
                  <c:v>112</c:v>
                </c:pt>
                <c:pt idx="8">
                  <c:v>112</c:v>
                </c:pt>
                <c:pt idx="9">
                  <c:v>131</c:v>
                </c:pt>
                <c:pt idx="10">
                  <c:v>131</c:v>
                </c:pt>
                <c:pt idx="11">
                  <c:v>150</c:v>
                </c:pt>
                <c:pt idx="12">
                  <c:v>150</c:v>
                </c:pt>
                <c:pt idx="13">
                  <c:v>169</c:v>
                </c:pt>
                <c:pt idx="14">
                  <c:v>169</c:v>
                </c:pt>
                <c:pt idx="15">
                  <c:v>189</c:v>
                </c:pt>
                <c:pt idx="16">
                  <c:v>189</c:v>
                </c:pt>
                <c:pt idx="17">
                  <c:v>189</c:v>
                </c:pt>
                <c:pt idx="18">
                  <c:v>208</c:v>
                </c:pt>
                <c:pt idx="19">
                  <c:v>208</c:v>
                </c:pt>
                <c:pt idx="20">
                  <c:v>227</c:v>
                </c:pt>
                <c:pt idx="21">
                  <c:v>227</c:v>
                </c:pt>
                <c:pt idx="22">
                  <c:v>246</c:v>
                </c:pt>
                <c:pt idx="23">
                  <c:v>246</c:v>
                </c:pt>
                <c:pt idx="24">
                  <c:v>246</c:v>
                </c:pt>
                <c:pt idx="25">
                  <c:v>265</c:v>
                </c:pt>
                <c:pt idx="26">
                  <c:v>265</c:v>
                </c:pt>
                <c:pt idx="27">
                  <c:v>284</c:v>
                </c:pt>
                <c:pt idx="28">
                  <c:v>284</c:v>
                </c:pt>
                <c:pt idx="29">
                  <c:v>303</c:v>
                </c:pt>
              </c:numCache>
            </c:numRef>
          </c:val>
          <c:smooth val="0"/>
        </c:ser>
        <c:dLbls>
          <c:showLegendKey val="0"/>
          <c:showVal val="0"/>
          <c:showCatName val="0"/>
          <c:showSerName val="0"/>
          <c:showPercent val="0"/>
          <c:showBubbleSize val="0"/>
        </c:dLbls>
        <c:smooth val="0"/>
        <c:axId val="296752768"/>
        <c:axId val="296753160"/>
      </c:lineChart>
      <c:catAx>
        <c:axId val="296752768"/>
        <c:scaling>
          <c:orientation val="minMax"/>
        </c:scaling>
        <c:delete val="0"/>
        <c:axPos val="b"/>
        <c:numFmt formatCode="#,##0" sourceLinked="0"/>
        <c:majorTickMark val="out"/>
        <c:minorTickMark val="none"/>
        <c:tickLblPos val="nextTo"/>
        <c:spPr>
          <a:ln w="3175">
            <a:solidFill>
              <a:srgbClr val="000000"/>
            </a:solidFill>
            <a:prstDash val="solid"/>
          </a:ln>
        </c:spPr>
        <c:txPr>
          <a:bodyPr rot="-5400000" vert="horz"/>
          <a:lstStyle/>
          <a:p>
            <a:pPr>
              <a:defRPr sz="1150" b="0" i="0" u="none" strike="noStrike" baseline="0">
                <a:solidFill>
                  <a:srgbClr val="000000"/>
                </a:solidFill>
                <a:latin typeface="Arial"/>
                <a:ea typeface="Arial"/>
                <a:cs typeface="Arial"/>
              </a:defRPr>
            </a:pPr>
            <a:endParaRPr lang="nl-BE"/>
          </a:p>
        </c:txPr>
        <c:crossAx val="296753160"/>
        <c:crosses val="autoZero"/>
        <c:auto val="1"/>
        <c:lblAlgn val="ctr"/>
        <c:lblOffset val="100"/>
        <c:tickLblSkip val="1"/>
        <c:tickMarkSkip val="1"/>
        <c:noMultiLvlLbl val="0"/>
      </c:catAx>
      <c:valAx>
        <c:axId val="296753160"/>
        <c:scaling>
          <c:orientation val="minMax"/>
        </c:scaling>
        <c:delete val="0"/>
        <c:axPos val="l"/>
        <c:majorGridlines>
          <c:spPr>
            <a:ln w="3175">
              <a:solidFill>
                <a:srgbClr val="000000"/>
              </a:solidFill>
              <a:prstDash val="solid"/>
            </a:ln>
          </c:spPr>
        </c:majorGridlines>
        <c:numFmt formatCode="#,##0_);\(#,##0\)"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nl-BE"/>
          </a:p>
        </c:txPr>
        <c:crossAx val="2967527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nl-BE"/>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5</xdr:row>
      <xdr:rowOff>0</xdr:rowOff>
    </xdr:from>
    <xdr:to>
      <xdr:col>21</xdr:col>
      <xdr:colOff>0</xdr:colOff>
      <xdr:row>32</xdr:row>
      <xdr:rowOff>0</xdr:rowOff>
    </xdr:to>
    <xdr:graphicFrame macro="">
      <xdr:nvGraphicFramePr>
        <xdr:cNvPr id="209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N60"/>
  <sheetViews>
    <sheetView showGridLines="0" showRowColHeaders="0" tabSelected="1" workbookViewId="0"/>
  </sheetViews>
  <sheetFormatPr defaultRowHeight="12.75" x14ac:dyDescent="0.2"/>
  <cols>
    <col min="1" max="1" width="2.42578125" customWidth="1"/>
    <col min="2" max="2" width="29.28515625" customWidth="1"/>
    <col min="3" max="3" width="15.140625" bestFit="1" customWidth="1"/>
    <col min="4" max="4" width="11.85546875" customWidth="1"/>
    <col min="5" max="5" width="2.85546875" bestFit="1" customWidth="1"/>
    <col min="6" max="6" width="34.5703125" customWidth="1"/>
    <col min="7" max="7" width="11.85546875" bestFit="1" customWidth="1"/>
    <col min="8" max="8" width="11.85546875" customWidth="1"/>
    <col min="9" max="9" width="2.85546875" customWidth="1"/>
    <col min="10" max="10" width="28.85546875" customWidth="1"/>
    <col min="11" max="11" width="11.85546875" bestFit="1" customWidth="1"/>
    <col min="12" max="12" width="10" customWidth="1"/>
    <col min="13" max="13" width="11.140625" hidden="1" customWidth="1"/>
    <col min="14" max="14" width="9.140625" hidden="1" customWidth="1"/>
  </cols>
  <sheetData>
    <row r="1" spans="2:14" x14ac:dyDescent="0.2">
      <c r="E1" s="1"/>
      <c r="F1" s="1"/>
      <c r="G1" s="2"/>
      <c r="H1" s="2"/>
      <c r="J1" s="1"/>
      <c r="K1" s="2"/>
      <c r="M1" s="5" t="s">
        <v>78</v>
      </c>
    </row>
    <row r="2" spans="2:14" x14ac:dyDescent="0.2">
      <c r="B2" s="11" t="s">
        <v>11</v>
      </c>
      <c r="C2" s="11"/>
      <c r="E2" s="1"/>
      <c r="F2" s="11" t="s">
        <v>35</v>
      </c>
      <c r="G2" s="11"/>
      <c r="H2" s="2"/>
      <c r="J2" s="11" t="s">
        <v>36</v>
      </c>
      <c r="K2" s="11"/>
      <c r="M2">
        <f>IF(INPUT_optieprijsberekening=1,INPUT_prijsofficieel+INPUT_prijsofficieus,(INPUT_eigenmiddelen+CALC_leencapaciteit)-INPUT_werkbudget-OUTPUT_registratiekosten-OUTPUT_aktekostenlening-OUTPUT_aanpassingswerken)</f>
        <v>178000</v>
      </c>
      <c r="N2" t="s">
        <v>75</v>
      </c>
    </row>
    <row r="3" spans="2:14" x14ac:dyDescent="0.2">
      <c r="E3" s="1"/>
      <c r="F3" s="1"/>
      <c r="G3" s="2"/>
      <c r="H3" s="2"/>
      <c r="J3" s="1"/>
      <c r="K3" s="2"/>
      <c r="M3" s="2"/>
    </row>
    <row r="4" spans="2:14" x14ac:dyDescent="0.2">
      <c r="B4" s="7" t="s">
        <v>66</v>
      </c>
      <c r="C4" s="19"/>
      <c r="E4" s="1"/>
      <c r="F4" s="7" t="s">
        <v>6</v>
      </c>
      <c r="G4" s="20"/>
      <c r="H4" s="2"/>
      <c r="J4" s="7" t="s">
        <v>12</v>
      </c>
      <c r="K4" s="19"/>
      <c r="M4" s="5" t="s">
        <v>22</v>
      </c>
    </row>
    <row r="5" spans="2:14" x14ac:dyDescent="0.2">
      <c r="E5" s="1"/>
      <c r="F5" s="13"/>
      <c r="G5" s="15"/>
      <c r="H5" s="2"/>
      <c r="J5" s="13"/>
      <c r="K5" s="15"/>
      <c r="M5">
        <f>IF(INPUT_gezinsgrootte="",0,IF(INPUT_gezinsgrootte="klein",CONST_maxkikleinbeschrijfkleingezin,CONST_maxkikleinbeschrijfgrootgezin))</f>
        <v>745</v>
      </c>
      <c r="N5" t="s">
        <v>54</v>
      </c>
    </row>
    <row r="6" spans="2:14" x14ac:dyDescent="0.2">
      <c r="B6" s="5" t="str">
        <f>IF(INPUT_optieprijsberekening=1,"Vraagprijs","Maximale biedprijs")</f>
        <v>Vraagprijs</v>
      </c>
      <c r="C6" s="33">
        <f>CALC_vraagprijs</f>
        <v>178000</v>
      </c>
      <c r="E6" s="21" t="s">
        <v>21</v>
      </c>
      <c r="F6" t="s">
        <v>77</v>
      </c>
      <c r="G6" s="22">
        <v>178000</v>
      </c>
      <c r="H6" s="2"/>
      <c r="I6" s="21" t="s">
        <v>21</v>
      </c>
      <c r="J6" t="s">
        <v>2</v>
      </c>
      <c r="K6" s="22">
        <v>117000</v>
      </c>
      <c r="M6">
        <f>IF(INPUT_beschrijf="klein",CONST_kikleinbeschrijf,IF(INPUT_beschrijf="groot",CONST_kigrootbeschrijf,IF(INPUT_ki="",0,IF(INPUT_ki&lt;=CALC_maxki,CONST_kikleinbeschrijf,IF(INPUT_ki&gt;CALC_maxki,CONST_kigrootbeschrijf,0)))))</f>
        <v>0.05</v>
      </c>
      <c r="N6" t="s">
        <v>56</v>
      </c>
    </row>
    <row r="7" spans="2:14" x14ac:dyDescent="0.2">
      <c r="B7" s="5" t="s">
        <v>7</v>
      </c>
      <c r="C7" s="3">
        <f>SUM(C8:C10)</f>
        <v>9802.6639583804736</v>
      </c>
      <c r="E7" s="21"/>
      <c r="F7" t="s">
        <v>76</v>
      </c>
      <c r="G7" s="22"/>
      <c r="H7" s="2"/>
      <c r="J7" t="s">
        <v>15</v>
      </c>
      <c r="K7" s="2">
        <v>1000</v>
      </c>
    </row>
    <row r="8" spans="2:14" x14ac:dyDescent="0.2">
      <c r="B8" s="12" t="str">
        <f>"Registratierechten" &amp; TEXT(CALC_beschrijf," (0%)")</f>
        <v>Registratierechten (5%)</v>
      </c>
      <c r="C8" s="32">
        <f>CALC_registratierechten</f>
        <v>7150</v>
      </c>
      <c r="H8" s="2"/>
      <c r="J8" t="s">
        <v>9</v>
      </c>
      <c r="K8" s="22">
        <v>1550</v>
      </c>
      <c r="M8" s="5" t="s">
        <v>42</v>
      </c>
    </row>
    <row r="9" spans="2:14" x14ac:dyDescent="0.2">
      <c r="B9" s="12" t="s">
        <v>3</v>
      </c>
      <c r="C9" s="32">
        <f>CALC_ereloonnotarisregistratie</f>
        <v>2027.6639583804736</v>
      </c>
      <c r="E9" s="21" t="s">
        <v>21</v>
      </c>
      <c r="F9" t="s">
        <v>4</v>
      </c>
      <c r="G9" s="26" t="s">
        <v>97</v>
      </c>
      <c r="H9" s="2"/>
      <c r="J9" t="s">
        <v>10</v>
      </c>
      <c r="K9" s="38">
        <v>4.8000000000000001E-2</v>
      </c>
      <c r="M9">
        <f>IF(INPUT_optieprijsberekening=1,INPUT_prijsofficieel,CALC_vraagprijs)*CALC_beschrijf+CHOOSE(INPUT_optieregistratierechten,0,-CONST_vrijstellingschijfregistratie*CALC_beschrijf,-(CONST_vrijstellingschijfregistratie*CALC_beschrijf+CONST_kortingregistratie),-INPUT_meeneembaarheid)</f>
        <v>7150</v>
      </c>
      <c r="N9" t="s">
        <v>55</v>
      </c>
    </row>
    <row r="10" spans="2:14" x14ac:dyDescent="0.2">
      <c r="B10" s="12" t="s">
        <v>1</v>
      </c>
      <c r="C10" s="32">
        <f>INPUT_aktekostenaankoop</f>
        <v>625</v>
      </c>
      <c r="F10" s="12" t="s">
        <v>47</v>
      </c>
      <c r="G10" s="22"/>
      <c r="H10" s="2"/>
      <c r="J10" t="s">
        <v>14</v>
      </c>
      <c r="K10" s="22">
        <v>20</v>
      </c>
    </row>
    <row r="11" spans="2:14" x14ac:dyDescent="0.2">
      <c r="B11" s="5" t="s">
        <v>49</v>
      </c>
      <c r="C11" s="34">
        <f ca="1">SUM(C12:C17)</f>
        <v>2712.1248532048885</v>
      </c>
      <c r="H11" s="2"/>
      <c r="M11" s="5" t="s">
        <v>68</v>
      </c>
    </row>
    <row r="12" spans="2:14" x14ac:dyDescent="0.2">
      <c r="B12" s="12" t="s">
        <v>0</v>
      </c>
      <c r="C12" s="32">
        <f ca="1">IF(CALC_telenenbedrag&lt;=0,0,CONST_registratierechthypotheek*CALC_telenenbedrag)</f>
        <v>932.26448282359388</v>
      </c>
      <c r="E12" s="21" t="s">
        <v>21</v>
      </c>
      <c r="F12" t="s">
        <v>37</v>
      </c>
      <c r="G12" s="22">
        <v>3</v>
      </c>
      <c r="H12" s="2"/>
      <c r="I12" s="21" t="s">
        <v>21</v>
      </c>
      <c r="J12" t="s">
        <v>46</v>
      </c>
      <c r="K12" s="22">
        <v>525</v>
      </c>
      <c r="M12">
        <f ca="1">MIN(INPUT_eigenmiddelen,OUTPUT_registratiekosten+OUTPUT_aktekostenlening+OUTPUT_aanpassingswerken+OUTPUT_reservekapitaal+IF(INPUT_optielening&lt;&gt;4,CALC_werkbudget,0))</f>
        <v>12514.788811585362</v>
      </c>
      <c r="N12" t="s">
        <v>72</v>
      </c>
    </row>
    <row r="13" spans="2:14" x14ac:dyDescent="0.2">
      <c r="B13" s="12" t="s">
        <v>48</v>
      </c>
      <c r="C13" s="32">
        <f ca="1">IF(CALC_telenenbedrag&lt;=0,0,CONST_inschrijvingsrecht*CALC_telenenbedrag)</f>
        <v>279.67934484707814</v>
      </c>
      <c r="F13" s="24" t="s">
        <v>38</v>
      </c>
      <c r="H13" s="2"/>
      <c r="J13" s="12"/>
      <c r="K13" s="2"/>
    </row>
    <row r="14" spans="2:14" x14ac:dyDescent="0.2">
      <c r="B14" s="12" t="s">
        <v>3</v>
      </c>
      <c r="C14" s="32">
        <f ca="1">CALC_ereloonnotarisaktekosten</f>
        <v>608.97741702660073</v>
      </c>
      <c r="F14" s="25" t="s">
        <v>39</v>
      </c>
      <c r="H14" s="2"/>
      <c r="I14" s="21" t="s">
        <v>21</v>
      </c>
      <c r="J14" t="s">
        <v>51</v>
      </c>
      <c r="K14" s="23" t="s">
        <v>97</v>
      </c>
      <c r="M14" s="5" t="s">
        <v>67</v>
      </c>
    </row>
    <row r="15" spans="2:14" x14ac:dyDescent="0.2">
      <c r="B15" s="12" t="s">
        <v>50</v>
      </c>
      <c r="C15" s="32">
        <f ca="1">CALC_ereloonhypotheekbewaarder</f>
        <v>116.20360850761585</v>
      </c>
      <c r="F15" s="25" t="s">
        <v>82</v>
      </c>
      <c r="H15" s="2"/>
      <c r="J15" s="12"/>
      <c r="K15" s="2"/>
      <c r="M15">
        <f ca="1">INPUT_eigenmiddelen-CALC_eigenmiddelenvoorbudget</f>
        <v>104485.21118841464</v>
      </c>
      <c r="N15" t="s">
        <v>73</v>
      </c>
    </row>
    <row r="16" spans="2:14" x14ac:dyDescent="0.2">
      <c r="B16" s="12" t="s">
        <v>1</v>
      </c>
      <c r="C16" s="32">
        <f ca="1">IF(CALC_telenenbedrag&lt;=0,0,INPUT_aktekostenlening)</f>
        <v>525</v>
      </c>
      <c r="F16" s="25" t="s">
        <v>40</v>
      </c>
      <c r="G16" s="15"/>
      <c r="H16" s="2"/>
      <c r="I16" s="21" t="s">
        <v>21</v>
      </c>
      <c r="J16" t="s">
        <v>93</v>
      </c>
      <c r="K16" s="22">
        <v>1</v>
      </c>
    </row>
    <row r="17" spans="2:14" x14ac:dyDescent="0.2">
      <c r="B17" s="12" t="s">
        <v>44</v>
      </c>
      <c r="C17" s="32">
        <f ca="1">IF(CALC_telenenbedrag&lt;=0,0,CONST_dossierkostenbank)</f>
        <v>250</v>
      </c>
      <c r="H17" s="2"/>
      <c r="I17" s="21"/>
      <c r="J17" s="12" t="s">
        <v>92</v>
      </c>
      <c r="M17" s="5" t="s">
        <v>74</v>
      </c>
    </row>
    <row r="18" spans="2:14" x14ac:dyDescent="0.2">
      <c r="B18" s="5" t="s">
        <v>28</v>
      </c>
      <c r="C18" s="3">
        <f>CALC_reservekapitaal</f>
        <v>0</v>
      </c>
      <c r="E18" s="21" t="s">
        <v>21</v>
      </c>
      <c r="F18" t="s">
        <v>45</v>
      </c>
      <c r="G18" s="22">
        <v>625</v>
      </c>
      <c r="H18" s="2"/>
      <c r="I18" s="21"/>
      <c r="J18" s="12" t="s">
        <v>98</v>
      </c>
      <c r="M18">
        <f ca="1">MIN(CALC_eigenmiddelenvoorbudget+CALC_eigenmiddelenvooraankoop,CALC_vraagprijs+CALC_eigenmiddelenvoorbudget)</f>
        <v>117000</v>
      </c>
      <c r="N18" t="s">
        <v>57</v>
      </c>
    </row>
    <row r="19" spans="2:14" x14ac:dyDescent="0.2">
      <c r="B19" s="5" t="s">
        <v>104</v>
      </c>
      <c r="C19" s="3">
        <f>CALC_aanpassingswerken</f>
        <v>0</v>
      </c>
      <c r="H19" s="2"/>
    </row>
    <row r="20" spans="2:14" x14ac:dyDescent="0.2">
      <c r="B20" s="5" t="s">
        <v>19</v>
      </c>
      <c r="C20" s="35">
        <f ca="1">CALC_werkbudget</f>
        <v>11236.527808741375</v>
      </c>
      <c r="H20" s="2"/>
      <c r="I20" s="21" t="s">
        <v>21</v>
      </c>
      <c r="J20" t="s">
        <v>24</v>
      </c>
      <c r="K20" s="22">
        <v>1</v>
      </c>
      <c r="M20" s="5" t="s">
        <v>27</v>
      </c>
    </row>
    <row r="21" spans="2:14" x14ac:dyDescent="0.2">
      <c r="B21" s="6" t="s">
        <v>5</v>
      </c>
      <c r="C21" s="37">
        <f ca="1">SUM(OUTPUT_vraagprijs,OUTPUT_registratiekosten,OUTPUT_aktekostenlening,OUTPUT_reservekapitaal,OUTPUT_aanpassingswerken,OUTPUT_werkbudget)</f>
        <v>201751.31662032672</v>
      </c>
      <c r="H21" s="2"/>
      <c r="J21" s="12" t="s">
        <v>25</v>
      </c>
      <c r="M21">
        <f>CHOOSE(INPUT_optiereservekapitaal,0,K22,K23*INPUT_maandloon)</f>
        <v>0</v>
      </c>
      <c r="N21" t="s">
        <v>58</v>
      </c>
    </row>
    <row r="22" spans="2:14" x14ac:dyDescent="0.2">
      <c r="H22" s="2"/>
      <c r="J22" s="12" t="s">
        <v>41</v>
      </c>
      <c r="K22" s="2">
        <v>10000</v>
      </c>
    </row>
    <row r="23" spans="2:14" x14ac:dyDescent="0.2">
      <c r="B23" s="7" t="s">
        <v>12</v>
      </c>
      <c r="C23" s="19"/>
      <c r="H23" s="2"/>
      <c r="J23" s="12" t="s">
        <v>26</v>
      </c>
      <c r="K23" s="2">
        <v>2</v>
      </c>
      <c r="M23" s="5" t="s">
        <v>107</v>
      </c>
    </row>
    <row r="24" spans="2:14" x14ac:dyDescent="0.2">
      <c r="F24" t="s">
        <v>109</v>
      </c>
      <c r="H24" s="2"/>
      <c r="M24">
        <f>INPUT_aanpassingswerken</f>
        <v>0</v>
      </c>
      <c r="N24" t="s">
        <v>108</v>
      </c>
    </row>
    <row r="25" spans="2:14" x14ac:dyDescent="0.2">
      <c r="B25" s="10" t="s">
        <v>83</v>
      </c>
      <c r="C25" s="2">
        <f ca="1">CALC_gebruikteeigenmiddelen</f>
        <v>117000</v>
      </c>
      <c r="F25" t="s">
        <v>13</v>
      </c>
      <c r="H25" s="2"/>
      <c r="I25" s="21" t="s">
        <v>21</v>
      </c>
      <c r="J25" t="s">
        <v>16</v>
      </c>
      <c r="K25" s="22">
        <v>4</v>
      </c>
    </row>
    <row r="26" spans="2:14" x14ac:dyDescent="0.2">
      <c r="B26" s="10" t="s">
        <v>84</v>
      </c>
      <c r="C26" s="2">
        <f ca="1">CALC_telenenbedrag</f>
        <v>84751.316620326717</v>
      </c>
      <c r="F26" s="16">
        <v>40223</v>
      </c>
      <c r="H26" s="2"/>
      <c r="J26" s="12" t="s">
        <v>17</v>
      </c>
      <c r="M26" s="5" t="s">
        <v>29</v>
      </c>
    </row>
    <row r="27" spans="2:14" x14ac:dyDescent="0.2">
      <c r="B27" s="6" t="s">
        <v>5</v>
      </c>
      <c r="C27" s="37">
        <f ca="1">SUM(CALC_gebruikteeigenmiddelen,CALC_telenenbedrag)</f>
        <v>201751.31662032672</v>
      </c>
      <c r="F27" s="17" t="str">
        <f>HYPERLINK("http://www.wimgielis.be","Website")</f>
        <v>Website</v>
      </c>
      <c r="H27" s="2"/>
      <c r="J27" s="12" t="s">
        <v>23</v>
      </c>
      <c r="K27" s="2">
        <v>15000</v>
      </c>
      <c r="M27" s="14">
        <f ca="1">CHOOSE(INPUT_optielening,0,INPUT_werkbudget,K28*OUTPUT_vraagprijs,MAX(0,(CALC_gebruikteeigenmiddelen+CALC_leencapaciteit)-(CALC_vraagprijs+OUTPUT_registratiekosten+OUTPUT_aktekostenlening+OUTPUT_aanpassingswerken+CALC_reservekapitaal)),MAX(0,MIN(K30,(CALC_gebruikteeigenmiddelen+K30)-(CALC_vraagprijs+OUTPUT_registratiekosten+OUTPUT_aktekostenlening+OUTPUT_aanpassingswerken+CALC_reservekapitaal))))</f>
        <v>11236.527808741375</v>
      </c>
      <c r="N27" t="s">
        <v>59</v>
      </c>
    </row>
    <row r="28" spans="2:14" x14ac:dyDescent="0.2">
      <c r="C28" s="39" t="str">
        <f ca="1">IF(CALC_haalbaarheid=CONST_onhaalbaar,CONST_onhaalbaar,"")</f>
        <v/>
      </c>
      <c r="F28" s="17" t="str">
        <f>HYPERLINK("http://www.hoeveelkostmijnhuis.be","Gegevens en nuttige website")</f>
        <v>Gegevens en nuttige website</v>
      </c>
      <c r="H28" s="2"/>
      <c r="J28" s="12" t="s">
        <v>20</v>
      </c>
      <c r="K28" s="18">
        <v>0.1</v>
      </c>
      <c r="M28" s="2"/>
    </row>
    <row r="29" spans="2:14" x14ac:dyDescent="0.2">
      <c r="B29" s="10" t="s">
        <v>85</v>
      </c>
      <c r="C29" s="2">
        <f ca="1">CALC_aflossing</f>
        <v>550.00000000000159</v>
      </c>
      <c r="H29" s="2"/>
      <c r="J29" s="12" t="s">
        <v>18</v>
      </c>
      <c r="M29" s="5" t="s">
        <v>30</v>
      </c>
    </row>
    <row r="30" spans="2:14" x14ac:dyDescent="0.2">
      <c r="B30" s="10" t="s">
        <v>87</v>
      </c>
      <c r="C30" s="2">
        <f ca="1">CALC_betaaldeinteresten</f>
        <v>47248.68337967369</v>
      </c>
      <c r="H30" s="2"/>
      <c r="J30" s="12" t="s">
        <v>89</v>
      </c>
      <c r="K30" s="2">
        <v>120000</v>
      </c>
      <c r="M30" s="14">
        <f ca="1">MAX(0,OUTPUT_totaalprijs-CALC_gebruikteeigenmiddelen)</f>
        <v>84751.316620326717</v>
      </c>
      <c r="N30" t="s">
        <v>60</v>
      </c>
    </row>
    <row r="31" spans="2:14" x14ac:dyDescent="0.2">
      <c r="B31" s="10" t="s">
        <v>96</v>
      </c>
      <c r="C31" s="2">
        <f ca="1">CALC_aflossing*INPUT_looptijd*12</f>
        <v>132000.00000000041</v>
      </c>
      <c r="H31" s="2"/>
      <c r="J31" s="12"/>
      <c r="K31" s="2"/>
    </row>
    <row r="32" spans="2:14" x14ac:dyDescent="0.2">
      <c r="H32" s="2"/>
      <c r="I32" s="21" t="s">
        <v>21</v>
      </c>
      <c r="J32" t="s">
        <v>105</v>
      </c>
      <c r="K32" s="2">
        <f>SUM(K33:K38)</f>
        <v>0</v>
      </c>
      <c r="M32" s="5" t="s">
        <v>81</v>
      </c>
    </row>
    <row r="33" spans="2:14" x14ac:dyDescent="0.2">
      <c r="B33" s="10" t="s">
        <v>88</v>
      </c>
      <c r="C33" s="2">
        <f>CALC_leencapaciteit</f>
        <v>84751.316620326717</v>
      </c>
      <c r="H33" s="2"/>
      <c r="J33" s="12" t="s">
        <v>103</v>
      </c>
      <c r="K33" s="2">
        <v>0</v>
      </c>
      <c r="M33">
        <f ca="1">CALC_telenenbedrag/10000</f>
        <v>8.4751316620326715</v>
      </c>
      <c r="N33" t="s">
        <v>61</v>
      </c>
    </row>
    <row r="34" spans="2:14" x14ac:dyDescent="0.2">
      <c r="B34" s="12" t="s">
        <v>90</v>
      </c>
      <c r="C34" s="4">
        <f ca="1">C26/C33</f>
        <v>1</v>
      </c>
      <c r="H34" s="2"/>
      <c r="J34" s="12" t="s">
        <v>99</v>
      </c>
      <c r="K34" s="2">
        <v>0</v>
      </c>
    </row>
    <row r="35" spans="2:14" x14ac:dyDescent="0.2">
      <c r="C35" s="2"/>
      <c r="H35" s="2"/>
      <c r="J35" s="12" t="s">
        <v>100</v>
      </c>
      <c r="K35" s="2">
        <v>0</v>
      </c>
      <c r="M35" s="5" t="s">
        <v>31</v>
      </c>
    </row>
    <row r="36" spans="2:14" x14ac:dyDescent="0.2">
      <c r="B36" s="10" t="s">
        <v>86</v>
      </c>
      <c r="C36" s="4">
        <f ca="1">CALC_quotiteit</f>
        <v>0.4761309922490265</v>
      </c>
      <c r="H36" s="2"/>
      <c r="J36" s="12" t="s">
        <v>101</v>
      </c>
      <c r="K36" s="2">
        <v>0</v>
      </c>
      <c r="M36" s="14">
        <f>IF(AND(INPUT_maandloon&gt;INPUT_reserveloon,INPUT_interest,INPUT_looptijd),-PV(INPUT_interest/12,12*INPUT_looptijd,INPUT_maandloon-INPUT_reserveloon),0)</f>
        <v>84751.316620326717</v>
      </c>
      <c r="N36" t="s">
        <v>62</v>
      </c>
    </row>
    <row r="37" spans="2:14" x14ac:dyDescent="0.2">
      <c r="B37" t="s">
        <v>91</v>
      </c>
      <c r="C37" s="2">
        <f>OUTPUT_vraagprijs+OUTPUT_registratiekosten</f>
        <v>187802.66395838046</v>
      </c>
      <c r="H37" s="2"/>
      <c r="J37" s="12" t="s">
        <v>102</v>
      </c>
      <c r="K37" s="2">
        <v>0</v>
      </c>
    </row>
    <row r="38" spans="2:14" x14ac:dyDescent="0.2">
      <c r="H38" s="2"/>
      <c r="J38" s="12" t="s">
        <v>106</v>
      </c>
      <c r="K38" s="2">
        <v>0</v>
      </c>
      <c r="M38" s="5" t="s">
        <v>94</v>
      </c>
    </row>
    <row r="39" spans="2:14" x14ac:dyDescent="0.2">
      <c r="H39" s="2"/>
      <c r="M39" t="str">
        <f ca="1">IF(CALC_telenenbedrag&lt;=0,0,IF(OR(CALC_telenenbedrag&gt;CALC_leencapaciteit,AND(INPUT_optielening=5,CALC_telenenbedrag&gt;K30)),CONST_onhaalbaar,CONST_haalbaar))</f>
        <v>HAALBAAR</v>
      </c>
      <c r="N39" t="s">
        <v>95</v>
      </c>
    </row>
    <row r="40" spans="2:14" x14ac:dyDescent="0.2">
      <c r="B40" s="12"/>
      <c r="C40" s="2"/>
      <c r="H40" s="2"/>
    </row>
    <row r="41" spans="2:14" x14ac:dyDescent="0.2">
      <c r="B41" s="12"/>
      <c r="C41" s="2"/>
      <c r="H41" s="2"/>
      <c r="M41" s="5" t="s">
        <v>32</v>
      </c>
    </row>
    <row r="42" spans="2:14" x14ac:dyDescent="0.2">
      <c r="C42" s="2"/>
      <c r="H42" s="2"/>
      <c r="M42" s="14">
        <f ca="1">-PMT(INPUT_interest/12,12*INPUT_looptijd,CALC_telenenbedrag)</f>
        <v>550.00000000000159</v>
      </c>
      <c r="N42" t="s">
        <v>63</v>
      </c>
    </row>
    <row r="44" spans="2:14" x14ac:dyDescent="0.2">
      <c r="M44" s="5" t="s">
        <v>33</v>
      </c>
    </row>
    <row r="45" spans="2:14" x14ac:dyDescent="0.2">
      <c r="M45" s="14">
        <f ca="1">CALC_telenenbedrag/CALC_vraagprijs</f>
        <v>0.4761309922490265</v>
      </c>
      <c r="N45" t="s">
        <v>64</v>
      </c>
    </row>
    <row r="47" spans="2:14" x14ac:dyDescent="0.2">
      <c r="M47" s="5" t="s">
        <v>34</v>
      </c>
    </row>
    <row r="48" spans="2:14" x14ac:dyDescent="0.2">
      <c r="M48" s="14">
        <f ca="1">CALC_aflossing*INPUT_looptijd*12-CALC_telenenbedrag</f>
        <v>47248.68337967369</v>
      </c>
      <c r="N48" t="s">
        <v>65</v>
      </c>
    </row>
    <row r="50" spans="10:14" x14ac:dyDescent="0.2">
      <c r="M50" s="5" t="s">
        <v>79</v>
      </c>
    </row>
    <row r="51" spans="10:14" x14ac:dyDescent="0.2">
      <c r="J51" s="17"/>
      <c r="M51">
        <f>INPUT_prijsofficieel/10000</f>
        <v>17.8</v>
      </c>
      <c r="N51" t="s">
        <v>80</v>
      </c>
    </row>
    <row r="53" spans="10:14" x14ac:dyDescent="0.2">
      <c r="M53" s="5" t="s">
        <v>52</v>
      </c>
    </row>
    <row r="54" spans="10:14" x14ac:dyDescent="0.2">
      <c r="M54" s="36">
        <f>Interpoleren!F3+Interpoleren!E3*CALC_geschaaldeofficieleprijs+Interpoleren!D3*CALC_geschaaldeofficieleprijs^2+Interpoleren!C3*CALC_geschaaldeofficieleprijs^3+Interpoleren!B3*CALC_geschaaldeofficieleprijs^4</f>
        <v>2027.6639583804736</v>
      </c>
      <c r="N54" t="s">
        <v>69</v>
      </c>
    </row>
    <row r="56" spans="10:14" x14ac:dyDescent="0.2">
      <c r="M56" s="5" t="s">
        <v>53</v>
      </c>
    </row>
    <row r="57" spans="10:14" x14ac:dyDescent="0.2">
      <c r="M57" s="36">
        <f ca="1">IF(CALC_telenenbedrag&lt;=0,0,Interpoleren!E39+Interpoleren!D39*CALC_geschaaldtelenenbedrag+Interpoleren!C39*CALC_geschaaldtelenenbedrag^2+Interpoleren!B39*CALC_geschaaldtelenenbedrag^3)</f>
        <v>608.97741702660073</v>
      </c>
      <c r="N57" t="s">
        <v>70</v>
      </c>
    </row>
    <row r="59" spans="10:14" x14ac:dyDescent="0.2">
      <c r="M59" s="5" t="s">
        <v>53</v>
      </c>
    </row>
    <row r="60" spans="10:14" x14ac:dyDescent="0.2">
      <c r="M60" s="36">
        <f ca="1">IF(CALC_telenenbedrag&lt;=0,0,Interpoleren!C40+Interpoleren!B40*CALC_geschaaldtelenenbedrag^1)</f>
        <v>116.20360850761585</v>
      </c>
      <c r="N60" t="s">
        <v>71</v>
      </c>
    </row>
  </sheetData>
  <phoneticPr fontId="2" type="noConversion"/>
  <conditionalFormatting sqref="J31:K31 J15 J13 J22:K22 K13:K15 K33:K36 J37:K37 K38">
    <cfRule type="expression" dxfId="15" priority="1" stopIfTrue="1">
      <formula>INPUT_optiereservekapitaal=2</formula>
    </cfRule>
  </conditionalFormatting>
  <conditionalFormatting sqref="J30:K30">
    <cfRule type="expression" dxfId="14" priority="2" stopIfTrue="1">
      <formula>INPUT_optielening=5</formula>
    </cfRule>
  </conditionalFormatting>
  <conditionalFormatting sqref="F10 J33:J36 J38">
    <cfRule type="expression" dxfId="13" priority="3" stopIfTrue="1">
      <formula>optielening=1</formula>
    </cfRule>
  </conditionalFormatting>
  <conditionalFormatting sqref="F13">
    <cfRule type="expression" dxfId="12" priority="4" stopIfTrue="1">
      <formula>INPUT_optieregistratierechten=1</formula>
    </cfRule>
  </conditionalFormatting>
  <conditionalFormatting sqref="F14">
    <cfRule type="expression" dxfId="11" priority="5" stopIfTrue="1">
      <formula>INPUT_optieregistratierechten=2</formula>
    </cfRule>
  </conditionalFormatting>
  <conditionalFormatting sqref="F15">
    <cfRule type="expression" dxfId="10" priority="6" stopIfTrue="1">
      <formula>INPUT_optieregistratierechten=3</formula>
    </cfRule>
  </conditionalFormatting>
  <conditionalFormatting sqref="F16:G16">
    <cfRule type="expression" dxfId="9" priority="7" stopIfTrue="1">
      <formula>INPUT_optieregistratierechten=4</formula>
    </cfRule>
  </conditionalFormatting>
  <conditionalFormatting sqref="G9">
    <cfRule type="expression" dxfId="8" priority="8" stopIfTrue="1">
      <formula>INPUT_ki=""</formula>
    </cfRule>
  </conditionalFormatting>
  <conditionalFormatting sqref="G10">
    <cfRule type="expression" dxfId="7" priority="9" stopIfTrue="1">
      <formula>INPUT_beschrijf=""</formula>
    </cfRule>
  </conditionalFormatting>
  <conditionalFormatting sqref="J17:J18 J26">
    <cfRule type="expression" dxfId="6" priority="10" stopIfTrue="1">
      <formula>INPUT_optielening=1</formula>
    </cfRule>
  </conditionalFormatting>
  <conditionalFormatting sqref="J27:K27">
    <cfRule type="expression" dxfId="5" priority="11" stopIfTrue="1">
      <formula>INPUT_optielening=2</formula>
    </cfRule>
  </conditionalFormatting>
  <conditionalFormatting sqref="J28:K28">
    <cfRule type="expression" dxfId="4" priority="12" stopIfTrue="1">
      <formula>INPUT_optielening=3</formula>
    </cfRule>
  </conditionalFormatting>
  <conditionalFormatting sqref="J29">
    <cfRule type="expression" dxfId="3" priority="13" stopIfTrue="1">
      <formula>INPUT_optielening=4</formula>
    </cfRule>
  </conditionalFormatting>
  <conditionalFormatting sqref="J21">
    <cfRule type="expression" dxfId="2" priority="14" stopIfTrue="1">
      <formula>INPUT_optiereservekapitaal=1</formula>
    </cfRule>
  </conditionalFormatting>
  <conditionalFormatting sqref="J23:K23">
    <cfRule type="expression" dxfId="1" priority="15" stopIfTrue="1">
      <formula>INPUT_optiereservekapitaal=3</formula>
    </cfRule>
  </conditionalFormatting>
  <conditionalFormatting sqref="C28">
    <cfRule type="cellIs" dxfId="0" priority="16" stopIfTrue="1" operator="equal">
      <formula>CONST_onhaalbaar</formula>
    </cfRule>
  </conditionalFormatting>
  <dataValidations count="9">
    <dataValidation type="whole" allowBlank="1" showErrorMessage="1" errorTitle="Ongeldige invoerwaarde" error="Kies een getal tussen 500 en 1000." sqref="G18 K12">
      <formula1>500</formula1>
      <formula2>1000</formula2>
    </dataValidation>
    <dataValidation type="list" allowBlank="1" showInputMessage="1" showErrorMessage="1" sqref="G9 K14">
      <formula1>"klein,groot"</formula1>
    </dataValidation>
    <dataValidation type="list" allowBlank="1" showInputMessage="1" showErrorMessage="1" sqref="G12">
      <formula1>"1,2,3,4"</formula1>
    </dataValidation>
    <dataValidation type="whole" allowBlank="1" showErrorMessage="1" errorTitle="Ongeldige invoerwaarde" error="Kies een getal tussen 500 en 1000. Dit getal geldt voor zowel registratierechten als leningskosten." sqref="G16">
      <formula1>0</formula1>
      <formula2>12500</formula2>
    </dataValidation>
    <dataValidation type="list" allowBlank="1" showInputMessage="1" showErrorMessage="1" sqref="K16">
      <formula1>"1,2"</formula1>
    </dataValidation>
    <dataValidation type="decimal" allowBlank="1" showInputMessage="1" showErrorMessage="1" sqref="K28">
      <formula1>0</formula1>
      <formula2>1</formula2>
    </dataValidation>
    <dataValidation type="list" allowBlank="1" showInputMessage="1" showErrorMessage="1" sqref="K20">
      <formula1>"1,2,3"</formula1>
    </dataValidation>
    <dataValidation type="whole" allowBlank="1" showInputMessage="1" showErrorMessage="1" sqref="K23">
      <formula1>0</formula1>
      <formula2>60</formula2>
    </dataValidation>
    <dataValidation type="list" allowBlank="1" showInputMessage="1" showErrorMessage="1" sqref="K25">
      <formula1>"1,2,3,4,5"</formula1>
    </dataValidation>
  </dataValidations>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H72"/>
  <sheetViews>
    <sheetView workbookViewId="0"/>
  </sheetViews>
  <sheetFormatPr defaultRowHeight="12.75" x14ac:dyDescent="0.2"/>
  <cols>
    <col min="1" max="1" width="12.85546875" bestFit="1" customWidth="1"/>
    <col min="2" max="2" width="7.140625" customWidth="1"/>
    <col min="3" max="3" width="12" customWidth="1"/>
    <col min="4" max="4" width="9.5703125" customWidth="1"/>
    <col min="5" max="5" width="9.28515625" bestFit="1" customWidth="1"/>
    <col min="6" max="6" width="6.5703125" bestFit="1" customWidth="1"/>
    <col min="7" max="7" width="6" bestFit="1" customWidth="1"/>
    <col min="8" max="8" width="7" bestFit="1" customWidth="1"/>
    <col min="9" max="9" width="4.28515625" customWidth="1"/>
    <col min="10" max="14" width="10.28515625" customWidth="1"/>
  </cols>
  <sheetData>
    <row r="2" spans="1:8" x14ac:dyDescent="0.2">
      <c r="B2" s="5" t="s">
        <v>8</v>
      </c>
    </row>
    <row r="3" spans="1:8" x14ac:dyDescent="0.2">
      <c r="B3" s="40">
        <f t="array" ref="B3:F3">LINEST($C$6:$C$35,E6:H35)</f>
        <v>-1.4376459037193522E-2</v>
      </c>
      <c r="C3" s="40">
        <v>0.96045173121556604</v>
      </c>
      <c r="D3" s="41">
        <v>-22.966671092575435</v>
      </c>
      <c r="E3" s="42">
        <v>286.45425858679545</v>
      </c>
      <c r="F3" s="43">
        <v>232.04666470182292</v>
      </c>
    </row>
    <row r="4" spans="1:8" x14ac:dyDescent="0.2">
      <c r="B4" s="10"/>
      <c r="D4" s="2"/>
      <c r="E4" s="2"/>
    </row>
    <row r="5" spans="1:8" x14ac:dyDescent="0.2">
      <c r="C5" s="44" t="s">
        <v>43</v>
      </c>
    </row>
    <row r="6" spans="1:8" x14ac:dyDescent="0.2">
      <c r="A6" s="2"/>
      <c r="B6" s="9">
        <v>10000</v>
      </c>
      <c r="C6" s="9">
        <v>500</v>
      </c>
      <c r="E6">
        <f t="shared" ref="E6:E35" si="0">($B6/10000)^1</f>
        <v>1</v>
      </c>
      <c r="F6">
        <f t="shared" ref="F6:F35" si="1">($B6/10000)^2</f>
        <v>1</v>
      </c>
      <c r="G6">
        <f t="shared" ref="G6:G35" si="2">($B6/10000)^3</f>
        <v>1</v>
      </c>
      <c r="H6">
        <f t="shared" ref="H6:H35" si="3">($B6/10000)^4</f>
        <v>1</v>
      </c>
    </row>
    <row r="7" spans="1:8" x14ac:dyDescent="0.2">
      <c r="A7" s="2"/>
      <c r="B7" s="9">
        <v>20000</v>
      </c>
      <c r="C7" s="9">
        <v>684</v>
      </c>
      <c r="E7">
        <f t="shared" si="0"/>
        <v>2</v>
      </c>
      <c r="F7">
        <f t="shared" si="1"/>
        <v>4</v>
      </c>
      <c r="G7">
        <f t="shared" si="2"/>
        <v>8</v>
      </c>
      <c r="H7">
        <f t="shared" si="3"/>
        <v>16</v>
      </c>
    </row>
    <row r="8" spans="1:8" x14ac:dyDescent="0.2">
      <c r="A8" s="2"/>
      <c r="B8" s="9">
        <v>30000</v>
      </c>
      <c r="C8" s="9">
        <v>912</v>
      </c>
      <c r="E8">
        <f t="shared" si="0"/>
        <v>3</v>
      </c>
      <c r="F8">
        <f t="shared" si="1"/>
        <v>9</v>
      </c>
      <c r="G8">
        <f t="shared" si="2"/>
        <v>27</v>
      </c>
      <c r="H8">
        <f t="shared" si="3"/>
        <v>81</v>
      </c>
    </row>
    <row r="9" spans="1:8" x14ac:dyDescent="0.2">
      <c r="A9" s="2"/>
      <c r="B9" s="9">
        <v>40000</v>
      </c>
      <c r="C9" s="9">
        <v>1083</v>
      </c>
      <c r="E9">
        <f t="shared" si="0"/>
        <v>4</v>
      </c>
      <c r="F9">
        <f t="shared" si="1"/>
        <v>16</v>
      </c>
      <c r="G9">
        <f t="shared" si="2"/>
        <v>64</v>
      </c>
      <c r="H9">
        <f t="shared" si="3"/>
        <v>256</v>
      </c>
    </row>
    <row r="10" spans="1:8" x14ac:dyDescent="0.2">
      <c r="A10" s="2"/>
      <c r="B10" s="9">
        <v>50000</v>
      </c>
      <c r="C10" s="9">
        <v>1228</v>
      </c>
      <c r="E10">
        <f t="shared" si="0"/>
        <v>5</v>
      </c>
      <c r="F10">
        <f t="shared" si="1"/>
        <v>25</v>
      </c>
      <c r="G10">
        <f t="shared" si="2"/>
        <v>125</v>
      </c>
      <c r="H10">
        <f t="shared" si="3"/>
        <v>625</v>
      </c>
    </row>
    <row r="11" spans="1:8" x14ac:dyDescent="0.2">
      <c r="A11" s="2"/>
      <c r="B11" s="9">
        <v>60000</v>
      </c>
      <c r="C11" s="9">
        <v>1342</v>
      </c>
      <c r="E11">
        <f t="shared" si="0"/>
        <v>6</v>
      </c>
      <c r="F11">
        <f t="shared" si="1"/>
        <v>36</v>
      </c>
      <c r="G11">
        <f t="shared" si="2"/>
        <v>216</v>
      </c>
      <c r="H11">
        <f t="shared" si="3"/>
        <v>1296</v>
      </c>
    </row>
    <row r="12" spans="1:8" x14ac:dyDescent="0.2">
      <c r="A12" s="2"/>
      <c r="B12" s="9">
        <v>70000</v>
      </c>
      <c r="C12" s="9">
        <v>1423</v>
      </c>
      <c r="E12">
        <f t="shared" si="0"/>
        <v>7</v>
      </c>
      <c r="F12">
        <f t="shared" si="1"/>
        <v>49</v>
      </c>
      <c r="G12">
        <f t="shared" si="2"/>
        <v>343</v>
      </c>
      <c r="H12">
        <f t="shared" si="3"/>
        <v>2401</v>
      </c>
    </row>
    <row r="13" spans="1:8" x14ac:dyDescent="0.2">
      <c r="A13" s="2"/>
      <c r="B13" s="9">
        <v>80000</v>
      </c>
      <c r="C13" s="9">
        <v>1480</v>
      </c>
      <c r="E13">
        <f t="shared" si="0"/>
        <v>8</v>
      </c>
      <c r="F13">
        <f t="shared" si="1"/>
        <v>64</v>
      </c>
      <c r="G13">
        <f t="shared" si="2"/>
        <v>512</v>
      </c>
      <c r="H13">
        <f t="shared" si="3"/>
        <v>4096</v>
      </c>
    </row>
    <row r="14" spans="1:8" x14ac:dyDescent="0.2">
      <c r="A14" s="2"/>
      <c r="B14" s="9">
        <v>90000</v>
      </c>
      <c r="C14" s="9">
        <v>1537</v>
      </c>
      <c r="E14">
        <f t="shared" si="0"/>
        <v>9</v>
      </c>
      <c r="F14">
        <f t="shared" si="1"/>
        <v>81</v>
      </c>
      <c r="G14">
        <f t="shared" si="2"/>
        <v>729</v>
      </c>
      <c r="H14">
        <f t="shared" si="3"/>
        <v>6561</v>
      </c>
    </row>
    <row r="15" spans="1:8" x14ac:dyDescent="0.2">
      <c r="A15" s="2"/>
      <c r="B15" s="9">
        <v>100000</v>
      </c>
      <c r="C15" s="9">
        <v>1594</v>
      </c>
      <c r="E15">
        <f t="shared" si="0"/>
        <v>10</v>
      </c>
      <c r="F15">
        <f t="shared" si="1"/>
        <v>100</v>
      </c>
      <c r="G15">
        <f t="shared" si="2"/>
        <v>1000</v>
      </c>
      <c r="H15">
        <f t="shared" si="3"/>
        <v>10000</v>
      </c>
    </row>
    <row r="16" spans="1:8" x14ac:dyDescent="0.2">
      <c r="A16" s="2"/>
      <c r="B16" s="9">
        <v>110000</v>
      </c>
      <c r="C16" s="9">
        <v>1651</v>
      </c>
      <c r="E16">
        <f t="shared" si="0"/>
        <v>11</v>
      </c>
      <c r="F16">
        <f t="shared" si="1"/>
        <v>121</v>
      </c>
      <c r="G16">
        <f t="shared" si="2"/>
        <v>1331</v>
      </c>
      <c r="H16">
        <f t="shared" si="3"/>
        <v>14641</v>
      </c>
    </row>
    <row r="17" spans="1:8" x14ac:dyDescent="0.2">
      <c r="A17" s="2"/>
      <c r="B17" s="9">
        <v>120000</v>
      </c>
      <c r="C17" s="9">
        <v>1708</v>
      </c>
      <c r="E17">
        <f t="shared" si="0"/>
        <v>12</v>
      </c>
      <c r="F17">
        <f t="shared" si="1"/>
        <v>144</v>
      </c>
      <c r="G17">
        <f t="shared" si="2"/>
        <v>1728</v>
      </c>
      <c r="H17">
        <f t="shared" si="3"/>
        <v>20736</v>
      </c>
    </row>
    <row r="18" spans="1:8" x14ac:dyDescent="0.2">
      <c r="A18" s="2"/>
      <c r="B18" s="9">
        <v>130000</v>
      </c>
      <c r="C18" s="9">
        <v>1765</v>
      </c>
      <c r="E18">
        <f t="shared" si="0"/>
        <v>13</v>
      </c>
      <c r="F18">
        <f t="shared" si="1"/>
        <v>169</v>
      </c>
      <c r="G18">
        <f t="shared" si="2"/>
        <v>2197</v>
      </c>
      <c r="H18">
        <f t="shared" si="3"/>
        <v>28561</v>
      </c>
    </row>
    <row r="19" spans="1:8" x14ac:dyDescent="0.2">
      <c r="A19" s="2"/>
      <c r="B19" s="9">
        <v>140000</v>
      </c>
      <c r="C19" s="9">
        <v>1822</v>
      </c>
      <c r="E19">
        <f t="shared" si="0"/>
        <v>14</v>
      </c>
      <c r="F19">
        <f t="shared" si="1"/>
        <v>196</v>
      </c>
      <c r="G19">
        <f t="shared" si="2"/>
        <v>2744</v>
      </c>
      <c r="H19">
        <f t="shared" si="3"/>
        <v>38416</v>
      </c>
    </row>
    <row r="20" spans="1:8" x14ac:dyDescent="0.2">
      <c r="A20" s="2"/>
      <c r="B20" s="9">
        <v>150000</v>
      </c>
      <c r="C20" s="9">
        <v>1879</v>
      </c>
      <c r="E20">
        <f t="shared" si="0"/>
        <v>15</v>
      </c>
      <c r="F20">
        <f t="shared" si="1"/>
        <v>225</v>
      </c>
      <c r="G20">
        <f t="shared" si="2"/>
        <v>3375</v>
      </c>
      <c r="H20">
        <f t="shared" si="3"/>
        <v>50625</v>
      </c>
    </row>
    <row r="21" spans="1:8" x14ac:dyDescent="0.2">
      <c r="A21" s="2"/>
      <c r="B21" s="9">
        <v>160000</v>
      </c>
      <c r="C21" s="9">
        <v>1936</v>
      </c>
      <c r="E21">
        <f t="shared" si="0"/>
        <v>16</v>
      </c>
      <c r="F21">
        <f t="shared" si="1"/>
        <v>256</v>
      </c>
      <c r="G21">
        <f t="shared" si="2"/>
        <v>4096</v>
      </c>
      <c r="H21">
        <f t="shared" si="3"/>
        <v>65536</v>
      </c>
    </row>
    <row r="22" spans="1:8" x14ac:dyDescent="0.2">
      <c r="A22" s="2"/>
      <c r="B22" s="9">
        <v>170000</v>
      </c>
      <c r="C22" s="9">
        <v>1993</v>
      </c>
      <c r="E22">
        <f t="shared" si="0"/>
        <v>17</v>
      </c>
      <c r="F22">
        <f t="shared" si="1"/>
        <v>289</v>
      </c>
      <c r="G22">
        <f t="shared" si="2"/>
        <v>4913</v>
      </c>
      <c r="H22">
        <f t="shared" si="3"/>
        <v>83521</v>
      </c>
    </row>
    <row r="23" spans="1:8" x14ac:dyDescent="0.2">
      <c r="A23" s="2"/>
      <c r="B23" s="9">
        <v>180000</v>
      </c>
      <c r="C23" s="9">
        <v>2050</v>
      </c>
      <c r="E23">
        <f t="shared" si="0"/>
        <v>18</v>
      </c>
      <c r="F23">
        <f t="shared" si="1"/>
        <v>324</v>
      </c>
      <c r="G23">
        <f t="shared" si="2"/>
        <v>5832</v>
      </c>
      <c r="H23">
        <f t="shared" si="3"/>
        <v>104976</v>
      </c>
    </row>
    <row r="24" spans="1:8" x14ac:dyDescent="0.2">
      <c r="A24" s="2"/>
      <c r="B24" s="9">
        <v>190000</v>
      </c>
      <c r="C24" s="9">
        <v>2107</v>
      </c>
      <c r="E24">
        <f t="shared" si="0"/>
        <v>19</v>
      </c>
      <c r="F24">
        <f t="shared" si="1"/>
        <v>361</v>
      </c>
      <c r="G24">
        <f t="shared" si="2"/>
        <v>6859</v>
      </c>
      <c r="H24">
        <f t="shared" si="3"/>
        <v>130321</v>
      </c>
    </row>
    <row r="25" spans="1:8" x14ac:dyDescent="0.2">
      <c r="A25" s="2"/>
      <c r="B25" s="9">
        <v>200000</v>
      </c>
      <c r="C25" s="9">
        <v>2164</v>
      </c>
      <c r="E25">
        <f t="shared" si="0"/>
        <v>20</v>
      </c>
      <c r="F25">
        <f t="shared" si="1"/>
        <v>400</v>
      </c>
      <c r="G25">
        <f t="shared" si="2"/>
        <v>8000</v>
      </c>
      <c r="H25">
        <f t="shared" si="3"/>
        <v>160000</v>
      </c>
    </row>
    <row r="26" spans="1:8" x14ac:dyDescent="0.2">
      <c r="A26" s="2"/>
      <c r="B26" s="9">
        <v>210000</v>
      </c>
      <c r="C26" s="9">
        <v>2221</v>
      </c>
      <c r="E26">
        <f t="shared" si="0"/>
        <v>21</v>
      </c>
      <c r="F26">
        <f t="shared" si="1"/>
        <v>441</v>
      </c>
      <c r="G26">
        <f t="shared" si="2"/>
        <v>9261</v>
      </c>
      <c r="H26">
        <f t="shared" si="3"/>
        <v>194481</v>
      </c>
    </row>
    <row r="27" spans="1:8" x14ac:dyDescent="0.2">
      <c r="A27" s="2"/>
      <c r="B27" s="9">
        <v>220000</v>
      </c>
      <c r="C27" s="9">
        <v>2278</v>
      </c>
      <c r="E27">
        <f t="shared" si="0"/>
        <v>22</v>
      </c>
      <c r="F27">
        <f t="shared" si="1"/>
        <v>484</v>
      </c>
      <c r="G27">
        <f t="shared" si="2"/>
        <v>10648</v>
      </c>
      <c r="H27">
        <f t="shared" si="3"/>
        <v>234256</v>
      </c>
    </row>
    <row r="28" spans="1:8" x14ac:dyDescent="0.2">
      <c r="A28" s="2"/>
      <c r="B28" s="9">
        <v>230000</v>
      </c>
      <c r="C28" s="9">
        <v>2335</v>
      </c>
      <c r="E28">
        <f t="shared" si="0"/>
        <v>23</v>
      </c>
      <c r="F28">
        <f t="shared" si="1"/>
        <v>529</v>
      </c>
      <c r="G28">
        <f t="shared" si="2"/>
        <v>12167</v>
      </c>
      <c r="H28">
        <f t="shared" si="3"/>
        <v>279841</v>
      </c>
    </row>
    <row r="29" spans="1:8" x14ac:dyDescent="0.2">
      <c r="A29" s="2"/>
      <c r="B29" s="9">
        <v>240000</v>
      </c>
      <c r="C29" s="9">
        <v>2392</v>
      </c>
      <c r="E29">
        <f t="shared" si="0"/>
        <v>24</v>
      </c>
      <c r="F29">
        <f t="shared" si="1"/>
        <v>576</v>
      </c>
      <c r="G29">
        <f t="shared" si="2"/>
        <v>13824</v>
      </c>
      <c r="H29">
        <f t="shared" si="3"/>
        <v>331776</v>
      </c>
    </row>
    <row r="30" spans="1:8" x14ac:dyDescent="0.2">
      <c r="A30" s="2"/>
      <c r="B30" s="9">
        <v>250000</v>
      </c>
      <c r="C30" s="9">
        <v>2449</v>
      </c>
      <c r="E30">
        <f t="shared" si="0"/>
        <v>25</v>
      </c>
      <c r="F30">
        <f t="shared" si="1"/>
        <v>625</v>
      </c>
      <c r="G30">
        <f t="shared" si="2"/>
        <v>15625</v>
      </c>
      <c r="H30">
        <f t="shared" si="3"/>
        <v>390625</v>
      </c>
    </row>
    <row r="31" spans="1:8" x14ac:dyDescent="0.2">
      <c r="A31" s="2"/>
      <c r="B31" s="9">
        <v>260000</v>
      </c>
      <c r="C31" s="9">
        <v>2455</v>
      </c>
      <c r="E31">
        <f t="shared" si="0"/>
        <v>26</v>
      </c>
      <c r="F31">
        <f t="shared" si="1"/>
        <v>676</v>
      </c>
      <c r="G31">
        <f t="shared" si="2"/>
        <v>17576</v>
      </c>
      <c r="H31">
        <f t="shared" si="3"/>
        <v>456976</v>
      </c>
    </row>
    <row r="32" spans="1:8" x14ac:dyDescent="0.2">
      <c r="A32" s="2"/>
      <c r="B32" s="9">
        <v>270000</v>
      </c>
      <c r="C32" s="9">
        <v>2461</v>
      </c>
      <c r="E32">
        <f t="shared" si="0"/>
        <v>27</v>
      </c>
      <c r="F32">
        <f t="shared" si="1"/>
        <v>729</v>
      </c>
      <c r="G32">
        <f t="shared" si="2"/>
        <v>19683</v>
      </c>
      <c r="H32">
        <f t="shared" si="3"/>
        <v>531441</v>
      </c>
    </row>
    <row r="33" spans="1:8" x14ac:dyDescent="0.2">
      <c r="A33" s="2"/>
      <c r="B33" s="9">
        <v>280000</v>
      </c>
      <c r="C33" s="9">
        <v>2466</v>
      </c>
      <c r="E33">
        <f t="shared" si="0"/>
        <v>28</v>
      </c>
      <c r="F33">
        <f t="shared" si="1"/>
        <v>784</v>
      </c>
      <c r="G33">
        <f t="shared" si="2"/>
        <v>21952</v>
      </c>
      <c r="H33">
        <f t="shared" si="3"/>
        <v>614656</v>
      </c>
    </row>
    <row r="34" spans="1:8" x14ac:dyDescent="0.2">
      <c r="A34" s="2"/>
      <c r="B34" s="9">
        <v>290000</v>
      </c>
      <c r="C34" s="9">
        <v>2472</v>
      </c>
      <c r="E34">
        <f t="shared" si="0"/>
        <v>29</v>
      </c>
      <c r="F34">
        <f t="shared" si="1"/>
        <v>841</v>
      </c>
      <c r="G34">
        <f t="shared" si="2"/>
        <v>24389</v>
      </c>
      <c r="H34">
        <f t="shared" si="3"/>
        <v>707281</v>
      </c>
    </row>
    <row r="35" spans="1:8" x14ac:dyDescent="0.2">
      <c r="A35" s="2"/>
      <c r="B35" s="9">
        <v>300000</v>
      </c>
      <c r="C35" s="9">
        <v>2478</v>
      </c>
      <c r="E35">
        <f t="shared" si="0"/>
        <v>30</v>
      </c>
      <c r="F35">
        <f t="shared" si="1"/>
        <v>900</v>
      </c>
      <c r="G35">
        <f t="shared" si="2"/>
        <v>27000</v>
      </c>
      <c r="H35">
        <f t="shared" si="3"/>
        <v>810000</v>
      </c>
    </row>
    <row r="38" spans="1:8" x14ac:dyDescent="0.2">
      <c r="B38" s="5" t="s">
        <v>8</v>
      </c>
    </row>
    <row r="39" spans="1:8" x14ac:dyDescent="0.2">
      <c r="B39" s="28">
        <f t="array" ref="B39:E39">LINEST(C43:C72,E6:G35)</f>
        <v>3.765492959504816E-2</v>
      </c>
      <c r="C39" s="28">
        <v>-2.493123104288284</v>
      </c>
      <c r="D39" s="30">
        <v>70.37200636500782</v>
      </c>
      <c r="E39" s="29">
        <v>168.71862798759349</v>
      </c>
    </row>
    <row r="40" spans="1:8" x14ac:dyDescent="0.2">
      <c r="B40" s="28">
        <f>SLOPE(D43:D72,B43:B72)*10000</f>
        <v>8.3982202447163523</v>
      </c>
      <c r="C40" s="27">
        <f>INTERCEPT(D43:D72,B43:B72)</f>
        <v>45.02758620689653</v>
      </c>
      <c r="D40" s="30"/>
      <c r="E40" s="29"/>
    </row>
    <row r="41" spans="1:8" x14ac:dyDescent="0.2">
      <c r="B41" s="10"/>
      <c r="D41" s="31"/>
      <c r="E41" s="29"/>
    </row>
    <row r="42" spans="1:8" x14ac:dyDescent="0.2">
      <c r="C42" s="46" t="s">
        <v>3</v>
      </c>
      <c r="D42" s="45" t="s">
        <v>50</v>
      </c>
    </row>
    <row r="43" spans="1:8" x14ac:dyDescent="0.2">
      <c r="B43" s="9">
        <v>10000</v>
      </c>
      <c r="C43" s="8">
        <v>162</v>
      </c>
      <c r="D43" s="8">
        <v>55</v>
      </c>
    </row>
    <row r="44" spans="1:8" x14ac:dyDescent="0.2">
      <c r="B44" s="9">
        <v>20000</v>
      </c>
      <c r="C44" s="8">
        <v>288</v>
      </c>
      <c r="D44" s="8">
        <v>55</v>
      </c>
    </row>
    <row r="45" spans="1:8" x14ac:dyDescent="0.2">
      <c r="B45" s="9">
        <v>30000</v>
      </c>
      <c r="C45" s="8">
        <v>379</v>
      </c>
      <c r="D45" s="8">
        <v>74</v>
      </c>
    </row>
    <row r="46" spans="1:8" x14ac:dyDescent="0.2">
      <c r="B46" s="9">
        <v>40000</v>
      </c>
      <c r="C46" s="8">
        <v>447</v>
      </c>
      <c r="D46" s="8">
        <v>74</v>
      </c>
    </row>
    <row r="47" spans="1:8" x14ac:dyDescent="0.2">
      <c r="B47" s="9">
        <v>50000</v>
      </c>
      <c r="C47" s="8">
        <v>506</v>
      </c>
      <c r="D47" s="8">
        <v>93</v>
      </c>
    </row>
    <row r="48" spans="1:8" x14ac:dyDescent="0.2">
      <c r="B48" s="9">
        <v>60000</v>
      </c>
      <c r="C48" s="8">
        <v>551</v>
      </c>
      <c r="D48" s="8">
        <v>93</v>
      </c>
    </row>
    <row r="49" spans="2:4" x14ac:dyDescent="0.2">
      <c r="B49" s="9">
        <v>70000</v>
      </c>
      <c r="C49" s="8">
        <v>583</v>
      </c>
      <c r="D49" s="8">
        <v>112</v>
      </c>
    </row>
    <row r="50" spans="2:4" x14ac:dyDescent="0.2">
      <c r="B50" s="9">
        <v>80000</v>
      </c>
      <c r="C50" s="8">
        <v>606</v>
      </c>
      <c r="D50" s="8">
        <v>112</v>
      </c>
    </row>
    <row r="51" spans="2:4" x14ac:dyDescent="0.2">
      <c r="B51" s="9">
        <v>90000</v>
      </c>
      <c r="C51" s="8">
        <v>629</v>
      </c>
      <c r="D51" s="8">
        <v>112</v>
      </c>
    </row>
    <row r="52" spans="2:4" x14ac:dyDescent="0.2">
      <c r="B52" s="9">
        <v>100000</v>
      </c>
      <c r="C52" s="8">
        <v>652</v>
      </c>
      <c r="D52" s="8">
        <v>131</v>
      </c>
    </row>
    <row r="53" spans="2:4" x14ac:dyDescent="0.2">
      <c r="B53" s="9">
        <v>110000</v>
      </c>
      <c r="C53" s="8">
        <v>675</v>
      </c>
      <c r="D53" s="8">
        <v>131</v>
      </c>
    </row>
    <row r="54" spans="2:4" x14ac:dyDescent="0.2">
      <c r="B54" s="9">
        <v>120000</v>
      </c>
      <c r="C54" s="8">
        <v>697</v>
      </c>
      <c r="D54" s="8">
        <v>150</v>
      </c>
    </row>
    <row r="55" spans="2:4" x14ac:dyDescent="0.2">
      <c r="B55" s="9">
        <v>130000</v>
      </c>
      <c r="C55" s="8">
        <v>720</v>
      </c>
      <c r="D55" s="8">
        <v>150</v>
      </c>
    </row>
    <row r="56" spans="2:4" x14ac:dyDescent="0.2">
      <c r="B56" s="9">
        <v>140000</v>
      </c>
      <c r="C56" s="8">
        <v>743</v>
      </c>
      <c r="D56" s="8">
        <v>169</v>
      </c>
    </row>
    <row r="57" spans="2:4" x14ac:dyDescent="0.2">
      <c r="B57" s="9">
        <v>150000</v>
      </c>
      <c r="C57" s="8">
        <v>766</v>
      </c>
      <c r="D57" s="8">
        <v>169</v>
      </c>
    </row>
    <row r="58" spans="2:4" x14ac:dyDescent="0.2">
      <c r="B58" s="9">
        <v>160000</v>
      </c>
      <c r="C58" s="8">
        <v>789</v>
      </c>
      <c r="D58" s="8">
        <v>189</v>
      </c>
    </row>
    <row r="59" spans="2:4" x14ac:dyDescent="0.2">
      <c r="B59" s="9">
        <v>170000</v>
      </c>
      <c r="C59" s="8">
        <v>811</v>
      </c>
      <c r="D59" s="8">
        <v>189</v>
      </c>
    </row>
    <row r="60" spans="2:4" x14ac:dyDescent="0.2">
      <c r="B60" s="9">
        <v>180000</v>
      </c>
      <c r="C60" s="8">
        <v>834</v>
      </c>
      <c r="D60" s="8">
        <v>189</v>
      </c>
    </row>
    <row r="61" spans="2:4" x14ac:dyDescent="0.2">
      <c r="B61" s="9">
        <v>190000</v>
      </c>
      <c r="C61" s="8">
        <v>857</v>
      </c>
      <c r="D61" s="8">
        <v>208</v>
      </c>
    </row>
    <row r="62" spans="2:4" x14ac:dyDescent="0.2">
      <c r="B62" s="9">
        <v>200000</v>
      </c>
      <c r="C62" s="8">
        <v>880</v>
      </c>
      <c r="D62" s="8">
        <v>208</v>
      </c>
    </row>
    <row r="63" spans="2:4" x14ac:dyDescent="0.2">
      <c r="B63" s="9">
        <v>210000</v>
      </c>
      <c r="C63" s="8">
        <v>903</v>
      </c>
      <c r="D63" s="8">
        <v>227</v>
      </c>
    </row>
    <row r="64" spans="2:4" x14ac:dyDescent="0.2">
      <c r="B64" s="9">
        <v>220000</v>
      </c>
      <c r="C64" s="8">
        <v>925</v>
      </c>
      <c r="D64" s="8">
        <v>227</v>
      </c>
    </row>
    <row r="65" spans="2:4" x14ac:dyDescent="0.2">
      <c r="B65" s="9">
        <v>230000</v>
      </c>
      <c r="C65" s="8">
        <v>948</v>
      </c>
      <c r="D65" s="8">
        <v>246</v>
      </c>
    </row>
    <row r="66" spans="2:4" x14ac:dyDescent="0.2">
      <c r="B66" s="9">
        <v>240000</v>
      </c>
      <c r="C66" s="8">
        <v>971</v>
      </c>
      <c r="D66" s="8">
        <v>246</v>
      </c>
    </row>
    <row r="67" spans="2:4" x14ac:dyDescent="0.2">
      <c r="B67" s="9">
        <v>250000</v>
      </c>
      <c r="C67" s="8">
        <v>994</v>
      </c>
      <c r="D67" s="8">
        <v>246</v>
      </c>
    </row>
    <row r="68" spans="2:4" x14ac:dyDescent="0.2">
      <c r="B68" s="9">
        <v>260000</v>
      </c>
      <c r="C68" s="8">
        <v>998</v>
      </c>
      <c r="D68" s="8">
        <v>265</v>
      </c>
    </row>
    <row r="69" spans="2:4" x14ac:dyDescent="0.2">
      <c r="B69" s="9">
        <v>270000</v>
      </c>
      <c r="C69" s="8">
        <v>1003</v>
      </c>
      <c r="D69" s="8">
        <v>265</v>
      </c>
    </row>
    <row r="70" spans="2:4" x14ac:dyDescent="0.2">
      <c r="B70" s="9">
        <v>280000</v>
      </c>
      <c r="C70" s="8">
        <v>1008</v>
      </c>
      <c r="D70" s="8">
        <v>284</v>
      </c>
    </row>
    <row r="71" spans="2:4" x14ac:dyDescent="0.2">
      <c r="B71" s="9">
        <v>290000</v>
      </c>
      <c r="C71" s="8">
        <v>1012</v>
      </c>
      <c r="D71" s="8">
        <v>284</v>
      </c>
    </row>
    <row r="72" spans="2:4" x14ac:dyDescent="0.2">
      <c r="B72" s="9">
        <v>300000</v>
      </c>
      <c r="C72" s="8">
        <v>1017</v>
      </c>
      <c r="D72" s="8">
        <v>303</v>
      </c>
    </row>
  </sheetData>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47</vt:i4>
      </vt:variant>
    </vt:vector>
  </HeadingPairs>
  <TitlesOfParts>
    <vt:vector size="49" baseType="lpstr">
      <vt:lpstr>MAIN</vt:lpstr>
      <vt:lpstr>Interpoleren</vt:lpstr>
      <vt:lpstr>CALC_aanpassingswerken</vt:lpstr>
      <vt:lpstr>CALC_aflossing</vt:lpstr>
      <vt:lpstr>CALC_beschrijf</vt:lpstr>
      <vt:lpstr>CALC_betaaldeinteresten</vt:lpstr>
      <vt:lpstr>CALC_eigenmiddelenvooraankoop</vt:lpstr>
      <vt:lpstr>CALC_eigenmiddelenvoorbudget</vt:lpstr>
      <vt:lpstr>CALC_ereloonhypotheekbewaarder</vt:lpstr>
      <vt:lpstr>CALC_ereloonnotarisaktekosten</vt:lpstr>
      <vt:lpstr>CALC_ereloonnotarisregistratie</vt:lpstr>
      <vt:lpstr>CALC_gebruikteeigenmiddelen</vt:lpstr>
      <vt:lpstr>CALC_geschaaldeofficieleprijs</vt:lpstr>
      <vt:lpstr>CALC_geschaaldtelenenbedrag</vt:lpstr>
      <vt:lpstr>CALC_haalbaarheid</vt:lpstr>
      <vt:lpstr>CALC_leencapaciteit</vt:lpstr>
      <vt:lpstr>CALC_maxki</vt:lpstr>
      <vt:lpstr>CALC_quotiteit</vt:lpstr>
      <vt:lpstr>CALC_registratierechten</vt:lpstr>
      <vt:lpstr>CALC_reservekapitaal</vt:lpstr>
      <vt:lpstr>CALC_telenenbedrag</vt:lpstr>
      <vt:lpstr>CALC_vraagprijs</vt:lpstr>
      <vt:lpstr>CALC_werkbudget</vt:lpstr>
      <vt:lpstr>INPUT_aanpassingswerken</vt:lpstr>
      <vt:lpstr>INPUT_aktekostenaankoop</vt:lpstr>
      <vt:lpstr>INPUT_aktekostenlening</vt:lpstr>
      <vt:lpstr>INPUT_beschrijf</vt:lpstr>
      <vt:lpstr>INPUT_eigenmiddelen</vt:lpstr>
      <vt:lpstr>INPUT_gezinsgrootte</vt:lpstr>
      <vt:lpstr>INPUT_interest</vt:lpstr>
      <vt:lpstr>INPUT_ki</vt:lpstr>
      <vt:lpstr>INPUT_looptijd</vt:lpstr>
      <vt:lpstr>INPUT_maandloon</vt:lpstr>
      <vt:lpstr>INPUT_meeneembaarheid</vt:lpstr>
      <vt:lpstr>INPUT_optielening</vt:lpstr>
      <vt:lpstr>INPUT_optieprijsberekening</vt:lpstr>
      <vt:lpstr>INPUT_optieregistratierechten</vt:lpstr>
      <vt:lpstr>INPUT_optiereservekapitaal</vt:lpstr>
      <vt:lpstr>INPUT_prijsofficieel</vt:lpstr>
      <vt:lpstr>INPUT_prijsofficieus</vt:lpstr>
      <vt:lpstr>INPUT_reserveloon</vt:lpstr>
      <vt:lpstr>INPUT_werkbudget</vt:lpstr>
      <vt:lpstr>OUTPUT_aanpassingswerken</vt:lpstr>
      <vt:lpstr>OUTPUT_aktekostenlening</vt:lpstr>
      <vt:lpstr>OUTPUT_registratiekosten</vt:lpstr>
      <vt:lpstr>OUTPUT_reservekapitaal</vt:lpstr>
      <vt:lpstr>OUTPUT_totaalprijs</vt:lpstr>
      <vt:lpstr>OUTPUT_vraagprijs</vt:lpstr>
      <vt:lpstr>OUTPUT_werkbudget</vt:lpstr>
    </vt:vector>
  </TitlesOfParts>
  <Company>http://www.wimgielis.be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Een eigen huis</dc:title>
  <dc:creator>Wim Gielis</dc:creator>
  <cp:lastModifiedBy>Wim Gielis</cp:lastModifiedBy>
  <dcterms:created xsi:type="dcterms:W3CDTF">2009-04-12T13:50:36Z</dcterms:created>
  <dcterms:modified xsi:type="dcterms:W3CDTF">2014-01-02T13:08:43Z</dcterms:modified>
</cp:coreProperties>
</file>