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bookViews>
    <workbookView xWindow="-15" yWindow="-15" windowWidth="4050" windowHeight="3780"/>
  </bookViews>
  <sheets>
    <sheet name="Kubus" sheetId="1" r:id="rId1"/>
  </sheets>
  <definedNames>
    <definedName name="RMX_1">Kubus!$AL$8</definedName>
    <definedName name="RMX_2">Kubus!$AL$9</definedName>
    <definedName name="RMX_3">Kubus!$AL$10</definedName>
    <definedName name="RMY_1">Kubus!$AM$8</definedName>
    <definedName name="RMY_2">Kubus!$AM$9</definedName>
    <definedName name="RMY_3">Kubus!$AM$10</definedName>
    <definedName name="RMZ_1">Kubus!$AN$8</definedName>
    <definedName name="RMZ_2">Kubus!$AN$9</definedName>
    <definedName name="RMZ_3">Kubus!$AN$10</definedName>
    <definedName name="XCOS">Kubus!$AL$5</definedName>
    <definedName name="XROTATE">Kubus!$AM$14</definedName>
    <definedName name="XSIN">Kubus!$AL$4</definedName>
    <definedName name="YCOS">Kubus!$AM$5</definedName>
    <definedName name="YROTATE">Kubus!$AM$15</definedName>
    <definedName name="YSIN">Kubus!$AM$4</definedName>
    <definedName name="ZCOS">Kubus!$AN$5</definedName>
    <definedName name="ZROTATE">Kubus!$AM$16</definedName>
    <definedName name="ZSIN">Kubus!$AN$4</definedName>
  </definedNames>
  <calcPr calcId="152511"/>
</workbook>
</file>

<file path=xl/calcChain.xml><?xml version="1.0" encoding="utf-8"?>
<calcChain xmlns="http://schemas.openxmlformats.org/spreadsheetml/2006/main">
  <c r="AF29" i="1" l="1"/>
  <c r="AM5" i="1"/>
  <c r="AL8" i="1" s="1"/>
  <c r="AN5" i="1"/>
  <c r="AL9" i="1" s="1"/>
  <c r="AN4" i="1"/>
  <c r="AM8" i="1"/>
  <c r="AM4" i="1"/>
  <c r="AN8" i="1" s="1"/>
  <c r="AL4" i="1"/>
  <c r="AM9" i="1" s="1"/>
  <c r="AL5" i="1"/>
  <c r="AN9" i="1"/>
  <c r="A44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X121" i="1"/>
  <c r="W121" i="1"/>
  <c r="X120" i="1"/>
  <c r="W120" i="1"/>
  <c r="X119" i="1"/>
  <c r="W119" i="1"/>
  <c r="X118" i="1"/>
  <c r="W118" i="1"/>
  <c r="X117" i="1"/>
  <c r="W117" i="1"/>
  <c r="X116" i="1"/>
  <c r="W116" i="1"/>
  <c r="X115" i="1"/>
  <c r="W115" i="1"/>
  <c r="X114" i="1"/>
  <c r="W114" i="1"/>
  <c r="X113" i="1"/>
  <c r="W113" i="1"/>
  <c r="X112" i="1"/>
  <c r="W112" i="1"/>
  <c r="X111" i="1"/>
  <c r="W111" i="1"/>
  <c r="X110" i="1"/>
  <c r="W110" i="1"/>
  <c r="X109" i="1"/>
  <c r="W109" i="1"/>
  <c r="X108" i="1"/>
  <c r="W108" i="1"/>
  <c r="X107" i="1"/>
  <c r="W107" i="1"/>
  <c r="X106" i="1"/>
  <c r="W106" i="1"/>
  <c r="X105" i="1"/>
  <c r="W105" i="1"/>
  <c r="X104" i="1"/>
  <c r="W104" i="1"/>
  <c r="X103" i="1"/>
  <c r="W103" i="1"/>
  <c r="X102" i="1"/>
  <c r="W102" i="1"/>
  <c r="X101" i="1"/>
  <c r="W101" i="1"/>
  <c r="X100" i="1"/>
  <c r="W100" i="1"/>
  <c r="X99" i="1"/>
  <c r="W99" i="1"/>
  <c r="X98" i="1"/>
  <c r="W98" i="1"/>
  <c r="X97" i="1"/>
  <c r="W97" i="1"/>
  <c r="X96" i="1"/>
  <c r="W96" i="1"/>
  <c r="X95" i="1"/>
  <c r="W95" i="1"/>
  <c r="X94" i="1"/>
  <c r="W94" i="1"/>
  <c r="X93" i="1"/>
  <c r="W93" i="1"/>
  <c r="X92" i="1"/>
  <c r="W92" i="1"/>
  <c r="X91" i="1"/>
  <c r="W91" i="1"/>
  <c r="X90" i="1"/>
  <c r="W90" i="1"/>
  <c r="X89" i="1"/>
  <c r="W89" i="1"/>
  <c r="X88" i="1"/>
  <c r="W88" i="1"/>
  <c r="X87" i="1"/>
  <c r="W87" i="1"/>
  <c r="X86" i="1"/>
  <c r="W86" i="1"/>
  <c r="X85" i="1"/>
  <c r="W85" i="1"/>
  <c r="X84" i="1"/>
  <c r="W84" i="1"/>
  <c r="X83" i="1"/>
  <c r="W83" i="1"/>
  <c r="X82" i="1"/>
  <c r="W82" i="1"/>
  <c r="X81" i="1"/>
  <c r="W81" i="1"/>
  <c r="X80" i="1"/>
  <c r="W80" i="1"/>
  <c r="X79" i="1"/>
  <c r="W79" i="1"/>
  <c r="X78" i="1"/>
  <c r="W78" i="1"/>
  <c r="X77" i="1"/>
  <c r="W77" i="1"/>
  <c r="X76" i="1"/>
  <c r="W76" i="1"/>
  <c r="X75" i="1"/>
  <c r="W75" i="1"/>
  <c r="X74" i="1"/>
  <c r="W74" i="1"/>
  <c r="X73" i="1"/>
  <c r="W73" i="1"/>
  <c r="X72" i="1"/>
  <c r="W72" i="1"/>
  <c r="AF27" i="1"/>
  <c r="AE23" i="1"/>
  <c r="AF22" i="1"/>
  <c r="AF26" i="1"/>
  <c r="AF25" i="1"/>
  <c r="AF14" i="1"/>
  <c r="AF13" i="1"/>
  <c r="AE18" i="1"/>
  <c r="AJ18" i="1" s="1"/>
  <c r="AE17" i="1"/>
  <c r="AF7" i="1"/>
  <c r="AF6" i="1"/>
  <c r="N22" i="1"/>
  <c r="N49" i="1"/>
  <c r="N48" i="1"/>
  <c r="N46" i="1"/>
  <c r="N45" i="1"/>
  <c r="N43" i="1"/>
  <c r="N42" i="1"/>
  <c r="N40" i="1"/>
  <c r="N39" i="1"/>
  <c r="N37" i="1"/>
  <c r="N36" i="1"/>
  <c r="N34" i="1"/>
  <c r="N33" i="1"/>
  <c r="N31" i="1"/>
  <c r="N30" i="1"/>
  <c r="N28" i="1"/>
  <c r="N27" i="1"/>
  <c r="N25" i="1"/>
  <c r="N24" i="1"/>
  <c r="N21" i="1"/>
  <c r="N19" i="1"/>
  <c r="N18" i="1"/>
  <c r="N16" i="1"/>
  <c r="N15" i="1"/>
  <c r="N13" i="1"/>
  <c r="N12" i="1"/>
  <c r="N10" i="1"/>
  <c r="N9" i="1"/>
  <c r="N7" i="1"/>
  <c r="N6" i="1"/>
  <c r="N4" i="1"/>
  <c r="N3" i="1"/>
  <c r="AG16" i="1"/>
  <c r="AG15" i="1"/>
  <c r="O49" i="1"/>
  <c r="O48" i="1"/>
  <c r="O46" i="1"/>
  <c r="O45" i="1"/>
  <c r="O43" i="1"/>
  <c r="O42" i="1"/>
  <c r="O40" i="1"/>
  <c r="O39" i="1"/>
  <c r="O9" i="1"/>
  <c r="O10" i="1"/>
  <c r="O15" i="1"/>
  <c r="O16" i="1"/>
  <c r="O27" i="1"/>
  <c r="O28" i="1"/>
  <c r="O30" i="1"/>
  <c r="O31" i="1"/>
  <c r="AL10" i="1"/>
  <c r="AM10" i="1"/>
  <c r="AN10" i="1"/>
  <c r="Z26" i="1" l="1"/>
  <c r="Z34" i="1"/>
  <c r="Z42" i="1"/>
  <c r="AI23" i="1"/>
  <c r="AA54" i="1"/>
  <c r="AA58" i="1"/>
  <c r="AA62" i="1"/>
  <c r="AA5" i="1"/>
  <c r="AA9" i="1"/>
  <c r="AA13" i="1"/>
  <c r="AA17" i="1"/>
  <c r="AA21" i="1"/>
  <c r="AA25" i="1"/>
  <c r="AA29" i="1"/>
  <c r="AA33" i="1"/>
  <c r="AA37" i="1"/>
  <c r="AA41" i="1"/>
  <c r="AA45" i="1"/>
  <c r="AA49" i="1"/>
  <c r="AJ15" i="1"/>
  <c r="R7" i="1"/>
  <c r="R12" i="1"/>
  <c r="R16" i="1"/>
  <c r="R22" i="1"/>
  <c r="R31" i="1"/>
  <c r="AJ30" i="1"/>
  <c r="R34" i="1"/>
  <c r="AJ31" i="1"/>
  <c r="AJ32" i="1"/>
  <c r="I25" i="1"/>
  <c r="R37" i="1"/>
  <c r="I10" i="1"/>
  <c r="I16" i="1"/>
  <c r="I22" i="1"/>
  <c r="I28" i="1"/>
  <c r="I34" i="1"/>
  <c r="AJ22" i="1"/>
  <c r="AJ14" i="1"/>
  <c r="AJ10" i="1"/>
  <c r="AJ4" i="1"/>
  <c r="R48" i="1"/>
  <c r="R40" i="1"/>
  <c r="R4" i="1"/>
  <c r="I4" i="1"/>
  <c r="R15" i="1"/>
  <c r="AA55" i="1"/>
  <c r="AA59" i="1"/>
  <c r="AA6" i="1"/>
  <c r="AA10" i="1"/>
  <c r="AA14" i="1"/>
  <c r="AA18" i="1"/>
  <c r="AA22" i="1"/>
  <c r="AA30" i="1"/>
  <c r="AA38" i="1"/>
  <c r="AA46" i="1"/>
  <c r="AA50" i="1"/>
  <c r="AJ13" i="1"/>
  <c r="R13" i="1"/>
  <c r="R18" i="1"/>
  <c r="R24" i="1"/>
  <c r="R28" i="1"/>
  <c r="R3" i="1"/>
  <c r="I3" i="1"/>
  <c r="I31" i="1"/>
  <c r="R43" i="1"/>
  <c r="I6" i="1"/>
  <c r="I12" i="1"/>
  <c r="I18" i="1"/>
  <c r="I24" i="1"/>
  <c r="I30" i="1"/>
  <c r="I36" i="1"/>
  <c r="AJ9" i="1"/>
  <c r="AJ3" i="1"/>
  <c r="R39" i="1"/>
  <c r="R33" i="1"/>
  <c r="R9" i="1"/>
  <c r="AJ33" i="1"/>
  <c r="R19" i="1"/>
  <c r="R25" i="1"/>
  <c r="AJ34" i="1"/>
  <c r="I13" i="1"/>
  <c r="R30" i="1"/>
  <c r="AA56" i="1"/>
  <c r="AA60" i="1"/>
  <c r="AA7" i="1"/>
  <c r="AA11" i="1"/>
  <c r="AA15" i="1"/>
  <c r="AA19" i="1"/>
  <c r="AA23" i="1"/>
  <c r="AA27" i="1"/>
  <c r="AA31" i="1"/>
  <c r="AA35" i="1"/>
  <c r="AA39" i="1"/>
  <c r="AA43" i="1"/>
  <c r="AA47" i="1"/>
  <c r="AA51" i="1"/>
  <c r="I37" i="1"/>
  <c r="AJ17" i="1"/>
  <c r="R46" i="1"/>
  <c r="AJ25" i="1"/>
  <c r="AJ29" i="1"/>
  <c r="AA53" i="1"/>
  <c r="AA57" i="1"/>
  <c r="AA61" i="1"/>
  <c r="AA4" i="1"/>
  <c r="AA8" i="1"/>
  <c r="AA12" i="1"/>
  <c r="AA16" i="1"/>
  <c r="AA20" i="1"/>
  <c r="AA24" i="1"/>
  <c r="AA28" i="1"/>
  <c r="AA32" i="1"/>
  <c r="AA36" i="1"/>
  <c r="AA40" i="1"/>
  <c r="AA44" i="1"/>
  <c r="AA48" i="1"/>
  <c r="AA52" i="1"/>
  <c r="AJ16" i="1"/>
  <c r="R49" i="1"/>
  <c r="R6" i="1"/>
  <c r="R10" i="1"/>
  <c r="R21" i="1"/>
  <c r="AJ27" i="1"/>
  <c r="I19" i="1"/>
  <c r="AA3" i="1"/>
  <c r="I9" i="1"/>
  <c r="I15" i="1"/>
  <c r="I21" i="1"/>
  <c r="I27" i="1"/>
  <c r="I33" i="1"/>
  <c r="AJ6" i="1"/>
  <c r="R45" i="1"/>
  <c r="R42" i="1"/>
  <c r="R36" i="1"/>
  <c r="R27" i="1"/>
  <c r="AJ28" i="1"/>
  <c r="I7" i="1"/>
  <c r="AJ7" i="1"/>
  <c r="AJ26" i="1"/>
  <c r="AI29" i="1"/>
  <c r="H37" i="1"/>
  <c r="Z3" i="1"/>
  <c r="H10" i="1"/>
  <c r="H16" i="1"/>
  <c r="H22" i="1"/>
  <c r="H28" i="1"/>
  <c r="H34" i="1"/>
  <c r="AI13" i="1"/>
  <c r="AI6" i="1"/>
  <c r="Q45" i="1"/>
  <c r="Q42" i="1"/>
  <c r="Q36" i="1"/>
  <c r="H4" i="1"/>
  <c r="AI28" i="1"/>
  <c r="Q28" i="1"/>
  <c r="Z16" i="1"/>
  <c r="Z40" i="1"/>
  <c r="Z55" i="1"/>
  <c r="Z59" i="1"/>
  <c r="Z6" i="1"/>
  <c r="Z10" i="1"/>
  <c r="Z14" i="1"/>
  <c r="Z18" i="1"/>
  <c r="Z22" i="1"/>
  <c r="Z30" i="1"/>
  <c r="Z38" i="1"/>
  <c r="Z46" i="1"/>
  <c r="Z50" i="1"/>
  <c r="Q13" i="1"/>
  <c r="Q18" i="1"/>
  <c r="Q24" i="1"/>
  <c r="AI30" i="1"/>
  <c r="Z57" i="1"/>
  <c r="Z12" i="1"/>
  <c r="Z44" i="1"/>
  <c r="AI16" i="1"/>
  <c r="AI25" i="1"/>
  <c r="H6" i="1"/>
  <c r="H12" i="1"/>
  <c r="H18" i="1"/>
  <c r="H24" i="1"/>
  <c r="H30" i="1"/>
  <c r="H36" i="1"/>
  <c r="AI22" i="1"/>
  <c r="AI10" i="1"/>
  <c r="AI4" i="1"/>
  <c r="Q48" i="1"/>
  <c r="Q40" i="1"/>
  <c r="Q34" i="1"/>
  <c r="Q9" i="1"/>
  <c r="AI31" i="1"/>
  <c r="Z53" i="1"/>
  <c r="Z24" i="1"/>
  <c r="Z48" i="1"/>
  <c r="Z56" i="1"/>
  <c r="Z60" i="1"/>
  <c r="Z7" i="1"/>
  <c r="Z11" i="1"/>
  <c r="Z15" i="1"/>
  <c r="Z19" i="1"/>
  <c r="Z23" i="1"/>
  <c r="Z27" i="1"/>
  <c r="Z31" i="1"/>
  <c r="Z35" i="1"/>
  <c r="Z39" i="1"/>
  <c r="Z43" i="1"/>
  <c r="Z47" i="1"/>
  <c r="Z51" i="1"/>
  <c r="Q19" i="1"/>
  <c r="Q25" i="1"/>
  <c r="Q4" i="1"/>
  <c r="H3" i="1"/>
  <c r="AI32" i="1"/>
  <c r="Q3" i="1"/>
  <c r="Z4" i="1"/>
  <c r="Z28" i="1"/>
  <c r="Q46" i="1"/>
  <c r="H7" i="1"/>
  <c r="H13" i="1"/>
  <c r="H19" i="1"/>
  <c r="H25" i="1"/>
  <c r="H31" i="1"/>
  <c r="AI17" i="1"/>
  <c r="AI9" i="1"/>
  <c r="AI3" i="1"/>
  <c r="Q39" i="1"/>
  <c r="Q33" i="1"/>
  <c r="Q15" i="1"/>
  <c r="Q30" i="1"/>
  <c r="AI33" i="1"/>
  <c r="Z20" i="1"/>
  <c r="Z52" i="1"/>
  <c r="Q6" i="1"/>
  <c r="H9" i="1"/>
  <c r="H15" i="1"/>
  <c r="H21" i="1"/>
  <c r="H27" i="1"/>
  <c r="H33" i="1"/>
  <c r="AI15" i="1"/>
  <c r="AI7" i="1"/>
  <c r="Q43" i="1"/>
  <c r="Q37" i="1"/>
  <c r="Q27" i="1"/>
  <c r="AI26" i="1"/>
  <c r="Z36" i="1"/>
  <c r="Q21" i="1"/>
  <c r="AI34" i="1"/>
  <c r="Z54" i="1"/>
  <c r="Z58" i="1"/>
  <c r="Z62" i="1"/>
  <c r="Z5" i="1"/>
  <c r="Z9" i="1"/>
  <c r="Z13" i="1"/>
  <c r="Z17" i="1"/>
  <c r="Z21" i="1"/>
  <c r="Z25" i="1"/>
  <c r="Z29" i="1"/>
  <c r="Z33" i="1"/>
  <c r="Z37" i="1"/>
  <c r="Z41" i="1"/>
  <c r="Z45" i="1"/>
  <c r="Z49" i="1"/>
  <c r="AI14" i="1"/>
  <c r="Q49" i="1"/>
  <c r="Q7" i="1"/>
  <c r="Q12" i="1"/>
  <c r="Q16" i="1"/>
  <c r="Q22" i="1"/>
  <c r="Q31" i="1"/>
  <c r="AI27" i="1"/>
  <c r="Z61" i="1"/>
  <c r="Z8" i="1"/>
  <c r="Z32" i="1"/>
  <c r="Q10" i="1"/>
  <c r="AJ23" i="1"/>
  <c r="AI18" i="1"/>
  <c r="AA42" i="1"/>
  <c r="AA34" i="1"/>
  <c r="AA26" i="1"/>
</calcChain>
</file>

<file path=xl/sharedStrings.xml><?xml version="1.0" encoding="utf-8"?>
<sst xmlns="http://schemas.openxmlformats.org/spreadsheetml/2006/main" count="231" uniqueCount="102">
  <si>
    <t>X</t>
  </si>
  <si>
    <t>Y</t>
  </si>
  <si>
    <t>Z</t>
  </si>
  <si>
    <t>OTH</t>
  </si>
  <si>
    <t>GOV</t>
  </si>
  <si>
    <t>IND</t>
  </si>
  <si>
    <t>PRO</t>
  </si>
  <si>
    <t>PREV</t>
  </si>
  <si>
    <t>TREAT</t>
  </si>
  <si>
    <t>lijn</t>
  </si>
  <si>
    <t>van:</t>
  </si>
  <si>
    <t>lijn 1</t>
  </si>
  <si>
    <t>lijn 2</t>
  </si>
  <si>
    <t>lijn 3</t>
  </si>
  <si>
    <t>lijn 4</t>
  </si>
  <si>
    <t>lijn 5</t>
  </si>
  <si>
    <t>lijn 6</t>
  </si>
  <si>
    <t>lijn 7</t>
  </si>
  <si>
    <t>lijn 8</t>
  </si>
  <si>
    <t>lijn 9</t>
  </si>
  <si>
    <t>lijn 10</t>
  </si>
  <si>
    <t>lijn 11</t>
  </si>
  <si>
    <t>lijn 12</t>
  </si>
  <si>
    <t>lijn 13</t>
  </si>
  <si>
    <t>lijn 14</t>
  </si>
  <si>
    <t>lijn 15</t>
  </si>
  <si>
    <t>lijn 16</t>
  </si>
  <si>
    <t>punt</t>
  </si>
  <si>
    <t>punt 1</t>
  </si>
  <si>
    <t>punt 2</t>
  </si>
  <si>
    <t>punt 3</t>
  </si>
  <si>
    <t>punt 4</t>
  </si>
  <si>
    <t>punt 5</t>
  </si>
  <si>
    <t>punt 6</t>
  </si>
  <si>
    <t>categorie</t>
  </si>
  <si>
    <t>categorie 1</t>
  </si>
  <si>
    <t>categorie 2</t>
  </si>
  <si>
    <t>categorie 3</t>
  </si>
  <si>
    <t>WHO BEARS THE EXP.</t>
  </si>
  <si>
    <t>GOAL</t>
  </si>
  <si>
    <t>MEANS</t>
  </si>
  <si>
    <t>tot:</t>
  </si>
  <si>
    <t>Draaiingshoek</t>
  </si>
  <si>
    <t>X-hoek</t>
  </si>
  <si>
    <t>Z-hoek</t>
  </si>
  <si>
    <t>Y-hoek</t>
  </si>
  <si>
    <t>Rotatiematrix</t>
  </si>
  <si>
    <t>(RE)</t>
  </si>
  <si>
    <t>label</t>
  </si>
  <si>
    <t>rib</t>
  </si>
  <si>
    <t>rib 1</t>
  </si>
  <si>
    <t>rib 2</t>
  </si>
  <si>
    <t>rib 3</t>
  </si>
  <si>
    <t>rib 4</t>
  </si>
  <si>
    <t>rib 5</t>
  </si>
  <si>
    <t>rib 6</t>
  </si>
  <si>
    <t>rib 7</t>
  </si>
  <si>
    <t>rib 8</t>
  </si>
  <si>
    <t>rib 9</t>
  </si>
  <si>
    <t>rib 10</t>
  </si>
  <si>
    <t>rib 11</t>
  </si>
  <si>
    <t>rib 12</t>
  </si>
  <si>
    <t>arcering</t>
  </si>
  <si>
    <t>titel Y-as (uitlijning)</t>
  </si>
  <si>
    <t>arceringsbalk 1</t>
  </si>
  <si>
    <t>arceringsbalk 2</t>
  </si>
  <si>
    <t>arceringsbalk 3</t>
  </si>
  <si>
    <t>arceringsbalk 4</t>
  </si>
  <si>
    <t>arceringsbalk 5</t>
  </si>
  <si>
    <t>arceringsbalk 6</t>
  </si>
  <si>
    <t>arceringsbalk 7</t>
  </si>
  <si>
    <t>arceringsbalk 8</t>
  </si>
  <si>
    <t>arceringsbalk 9</t>
  </si>
  <si>
    <t>arceringsbalk 10</t>
  </si>
  <si>
    <t>arceringsbalk 11</t>
  </si>
  <si>
    <t>arceringsbalk 12</t>
  </si>
  <si>
    <t>arceringsbalk 13</t>
  </si>
  <si>
    <t>arceringsbalk 14</t>
  </si>
  <si>
    <t>arceringsbalk 15</t>
  </si>
  <si>
    <t>arceringsbalk 16</t>
  </si>
  <si>
    <t>arceringsbalk 17</t>
  </si>
  <si>
    <t>arceringsbalk 18</t>
  </si>
  <si>
    <t>arceringsbalk 19</t>
  </si>
  <si>
    <t>arceringsbalk 20</t>
  </si>
  <si>
    <t>arceringsbalk 21</t>
  </si>
  <si>
    <t>arceringsbalk 22</t>
  </si>
  <si>
    <t>arceringsbalk 23</t>
  </si>
  <si>
    <t>arceringsbalk 24</t>
  </si>
  <si>
    <t>arceringsbalk 25</t>
  </si>
  <si>
    <t>arceringsbalk 26</t>
  </si>
  <si>
    <t>arceringsbalk 27</t>
  </si>
  <si>
    <t>arceringsbalk 28</t>
  </si>
  <si>
    <t>arceringsbalk 29</t>
  </si>
  <si>
    <t>arceringsbalk 30</t>
  </si>
  <si>
    <t>(sinus)</t>
  </si>
  <si>
    <t>(cosinus)</t>
  </si>
  <si>
    <t>Berekening hoeken</t>
  </si>
  <si>
    <t>EXPL</t>
  </si>
  <si>
    <t>ONBED</t>
  </si>
  <si>
    <t>ENP</t>
  </si>
  <si>
    <t>Wim Gielis</t>
  </si>
  <si>
    <t>Wijzig het aanzicht van de kubus (op 3 manieren) door te schuiven met de balken.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</si>
</sst>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_-[$€]* #,##0.00_-;\-[$€]* #,##0.00_-;_-[$€]* &quot;-&quot;??_-;_-@_-"/>
    <numFmt numFmtId="201" formatCode="d/mm/yy;@"/>
  </numFmts>
  <fonts count="4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88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0" xfId="0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quotePrefix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2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>
      <alignment horizontal="left" indent="2"/>
    </xf>
    <xf numFmtId="0" fontId="0" fillId="0" borderId="0" xfId="0" applyFill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 indent="3"/>
      <protection locked="0"/>
    </xf>
    <xf numFmtId="0" fontId="0" fillId="0" borderId="0" xfId="0" applyAlignment="1">
      <alignment horizontal="center"/>
    </xf>
    <xf numFmtId="201" fontId="0" fillId="0" borderId="0" xfId="0" applyNumberFormat="1" applyAlignment="1">
      <alignment horizontal="center"/>
    </xf>
    <xf numFmtId="0" fontId="2" fillId="0" borderId="0" xfId="2" applyAlignment="1" applyProtection="1">
      <alignment horizontal="center"/>
    </xf>
    <xf numFmtId="0" fontId="0" fillId="0" borderId="0" xfId="0" applyAlignment="1" applyProtection="1">
      <alignment horizontal="center"/>
      <protection locked="0"/>
    </xf>
  </cellXfs>
  <cellStyles count="3">
    <cellStyle name="Euro" xfId="1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529431073915995E-2"/>
          <c:y val="2.7027074583112654E-2"/>
          <c:w val="0.95294195849359775"/>
          <c:h val="0.93333497560349032"/>
        </c:manualLayout>
      </c:layout>
      <c:scatterChart>
        <c:scatterStyle val="lineMarker"/>
        <c:varyColors val="0"/>
        <c:ser>
          <c:idx val="0"/>
          <c:order val="0"/>
          <c:tx>
            <c:strRef>
              <c:f>Kubus!$AC$25:$AC$34</c:f>
              <c:strCache>
                <c:ptCount val="10"/>
                <c:pt idx="0">
                  <c:v>OTH</c:v>
                </c:pt>
                <c:pt idx="1">
                  <c:v>GOV</c:v>
                </c:pt>
                <c:pt idx="2">
                  <c:v>IND</c:v>
                </c:pt>
                <c:pt idx="3">
                  <c:v>PRO</c:v>
                </c:pt>
                <c:pt idx="4">
                  <c:v>(RE)</c:v>
                </c:pt>
                <c:pt idx="5">
                  <c:v>EXPL</c:v>
                </c:pt>
                <c:pt idx="6">
                  <c:v>ONBED</c:v>
                </c:pt>
                <c:pt idx="7">
                  <c:v>PREV</c:v>
                </c:pt>
                <c:pt idx="8">
                  <c:v>TREAT</c:v>
                </c:pt>
                <c:pt idx="9">
                  <c:v>ENP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dPt>
            <c:idx val="9"/>
            <c:bubble3D val="0"/>
          </c:dPt>
          <c:dLbls>
            <c:dLbl>
              <c:idx val="0"/>
              <c:layout/>
              <c:tx>
                <c:strRef>
                  <c:f>Kubus!$AC$25</c:f>
                  <c:strCache>
                    <c:ptCount val="1"/>
                    <c:pt idx="0">
                      <c:v>OTH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{997C79AD-1707-44AC-A5C9-BBE74E3ED57A}</c15:txfldGUID>
                      <c15:f>Kubus!$AC$25</c15:f>
                      <c15:dlblFieldTableCache>
                        <c:ptCount val="1"/>
                        <c:pt idx="0">
                          <c:v>OTH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/>
              <c:tx>
                <c:strRef>
                  <c:f>Kubus!$AC$26</c:f>
                  <c:strCache>
                    <c:ptCount val="1"/>
                    <c:pt idx="0">
                      <c:v>GOV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{8EB8A98B-64E0-4EEB-B744-BA0BA82FBB22}</c15:txfldGUID>
                      <c15:f>Kubus!$AC$26</c15:f>
                      <c15:dlblFieldTableCache>
                        <c:ptCount val="1"/>
                        <c:pt idx="0">
                          <c:v>GOV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/>
              <c:tx>
                <c:strRef>
                  <c:f>Kubus!$AC$27</c:f>
                  <c:strCache>
                    <c:ptCount val="1"/>
                    <c:pt idx="0">
                      <c:v>IND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{CCCAAD9E-A89B-4E33-BAFC-57840FD8F016}</c15:txfldGUID>
                      <c15:f>Kubus!$AC$27</c15:f>
                      <c15:dlblFieldTableCache>
                        <c:ptCount val="1"/>
                        <c:pt idx="0">
                          <c:v>IND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/>
              <c:tx>
                <c:strRef>
                  <c:f>Kubus!$AC$28</c:f>
                  <c:strCache>
                    <c:ptCount val="1"/>
                    <c:pt idx="0">
                      <c:v>PRO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{FB07456B-F443-4198-ABE1-71CD7E750C40}</c15:txfldGUID>
                      <c15:f>Kubus!$AC$28</c15:f>
                      <c15:dlblFieldTableCache>
                        <c:ptCount val="1"/>
                        <c:pt idx="0">
                          <c:v>PRO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/>
              <c:tx>
                <c:strRef>
                  <c:f>Kubus!$AC$29</c:f>
                  <c:strCache>
                    <c:ptCount val="1"/>
                    <c:pt idx="0">
                      <c:v>(RE)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{882AB4B5-00FE-4316-90D7-5F13A072080A}</c15:txfldGUID>
                      <c15:f>Kubus!$AC$29</c15:f>
                      <c15:dlblFieldTableCache>
                        <c:ptCount val="1"/>
                        <c:pt idx="0">
                          <c:v>(RE)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/>
              <c:tx>
                <c:strRef>
                  <c:f>Kubus!$AC$30</c:f>
                  <c:strCache>
                    <c:ptCount val="1"/>
                    <c:pt idx="0">
                      <c:v>EXPL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{DE73D386-30EF-4918-9474-DBBA0AE68019}</c15:txfldGUID>
                      <c15:f>Kubus!$AC$30</c15:f>
                      <c15:dlblFieldTableCache>
                        <c:ptCount val="1"/>
                        <c:pt idx="0">
                          <c:v>EXPL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layout/>
              <c:tx>
                <c:strRef>
                  <c:f>Kubus!$AC$31</c:f>
                  <c:strCache>
                    <c:ptCount val="1"/>
                    <c:pt idx="0">
                      <c:v>ONBED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{55A1DE5F-F635-43A0-8F88-6E2E8CAB8EC6}</c15:txfldGUID>
                      <c15:f>Kubus!$AC$31</c15:f>
                      <c15:dlblFieldTableCache>
                        <c:ptCount val="1"/>
                        <c:pt idx="0">
                          <c:v>ONBED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layout/>
              <c:tx>
                <c:strRef>
                  <c:f>Kubus!$AC$32</c:f>
                  <c:strCache>
                    <c:ptCount val="1"/>
                    <c:pt idx="0">
                      <c:v>PREV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{F336105F-4944-4EF8-9A25-4A939CD22A92}</c15:txfldGUID>
                      <c15:f>Kubus!$AC$32</c15:f>
                      <c15:dlblFieldTableCache>
                        <c:ptCount val="1"/>
                        <c:pt idx="0">
                          <c:v>PREV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layout/>
              <c:tx>
                <c:strRef>
                  <c:f>Kubus!$AC$33</c:f>
                  <c:strCache>
                    <c:ptCount val="1"/>
                    <c:pt idx="0">
                      <c:v>TREAT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{95823BB6-CA0E-474B-AAB2-CA7DB95468CE}</c15:txfldGUID>
                      <c15:f>Kubus!$AC$33</c15:f>
                      <c15:dlblFieldTableCache>
                        <c:ptCount val="1"/>
                        <c:pt idx="0">
                          <c:v>TREAT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9"/>
              <c:layout/>
              <c:tx>
                <c:strRef>
                  <c:f>Kubus!$AC$34</c:f>
                  <c:strCache>
                    <c:ptCount val="1"/>
                    <c:pt idx="0">
                      <c:v>ENP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{EA2E8296-7FD2-4B13-904E-0E2F2D0AF0DA}</c15:txfldGUID>
                      <c15:f>Kubus!$AC$34</c15:f>
                      <c15:dlblFieldTableCache>
                        <c:ptCount val="1"/>
                        <c:pt idx="0">
                          <c:v>ENP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Kubus!$AI$25:$AI$34</c:f>
              <c:numCache>
                <c:formatCode>0.00</c:formatCode>
                <c:ptCount val="10"/>
                <c:pt idx="0">
                  <c:v>-9.0630778703664996E-2</c:v>
                </c:pt>
                <c:pt idx="1">
                  <c:v>-9.0630778703664996E-2</c:v>
                </c:pt>
                <c:pt idx="2">
                  <c:v>-9.0630778703664996E-2</c:v>
                </c:pt>
                <c:pt idx="3">
                  <c:v>0.13594616805549747</c:v>
                </c:pt>
                <c:pt idx="4">
                  <c:v>0.5437846722219899</c:v>
                </c:pt>
                <c:pt idx="5">
                  <c:v>0.45315389351832497</c:v>
                </c:pt>
                <c:pt idx="6">
                  <c:v>0.72504622962931997</c:v>
                </c:pt>
                <c:pt idx="7">
                  <c:v>1.1418013941717973</c:v>
                </c:pt>
                <c:pt idx="8">
                  <c:v>1.3350331751328746</c:v>
                </c:pt>
                <c:pt idx="9">
                  <c:v>1.5040804798291543</c:v>
                </c:pt>
              </c:numCache>
            </c:numRef>
          </c:xVal>
          <c:yVal>
            <c:numRef>
              <c:f>Kubus!$AJ$25:$AJ$34</c:f>
              <c:numCache>
                <c:formatCode>0.00</c:formatCode>
                <c:ptCount val="10"/>
                <c:pt idx="0">
                  <c:v>0.78571781353486725</c:v>
                </c:pt>
                <c:pt idx="1">
                  <c:v>0.49606440342795793</c:v>
                </c:pt>
                <c:pt idx="2">
                  <c:v>0.21086719963038564</c:v>
                </c:pt>
                <c:pt idx="3">
                  <c:v>-8.8225641013208594E-3</c:v>
                </c:pt>
                <c:pt idx="4">
                  <c:v>-0.10213335104533944</c:v>
                </c:pt>
                <c:pt idx="5">
                  <c:v>-2.9408547004402864E-2</c:v>
                </c:pt>
                <c:pt idx="6">
                  <c:v>-4.7053675207044586E-2</c:v>
                </c:pt>
                <c:pt idx="7">
                  <c:v>-4.9977993934806966E-3</c:v>
                </c:pt>
                <c:pt idx="8">
                  <c:v>3.6208128707229822E-2</c:v>
                </c:pt>
                <c:pt idx="9">
                  <c:v>8.6661594765687883E-2</c:v>
                </c:pt>
              </c:numCache>
            </c:numRef>
          </c:yVal>
          <c:smooth val="1"/>
        </c:ser>
        <c:ser>
          <c:idx val="13"/>
          <c:order val="1"/>
          <c:tx>
            <c:strRef>
              <c:f>Kubus!$AC$12</c:f>
              <c:strCache>
                <c:ptCount val="1"/>
                <c:pt idx="0">
                  <c:v>punt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Kubus!$AI$13:$AI$18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0.30210259567888331</c:v>
                </c:pt>
                <c:pt idx="3">
                  <c:v>0.60420519135776662</c:v>
                </c:pt>
                <c:pt idx="4">
                  <c:v>1.0753550917329298</c:v>
                </c:pt>
                <c:pt idx="5">
                  <c:v>1.2444023964292095</c:v>
                </c:pt>
              </c:numCache>
            </c:numRef>
          </c:xVal>
          <c:yVal>
            <c:numRef>
              <c:f>Kubus!$AJ$13:$AJ$18</c:f>
              <c:numCache>
                <c:formatCode>0.00</c:formatCode>
                <c:ptCount val="6"/>
                <c:pt idx="0">
                  <c:v>0.59416084124494217</c:v>
                </c:pt>
                <c:pt idx="1">
                  <c:v>0.29708042062247109</c:v>
                </c:pt>
                <c:pt idx="2">
                  <c:v>-1.960569800293524E-2</c:v>
                </c:pt>
                <c:pt idx="3">
                  <c:v>-3.921139600587048E-2</c:v>
                </c:pt>
                <c:pt idx="4">
                  <c:v>-8.3636279503476671E-3</c:v>
                </c:pt>
                <c:pt idx="5">
                  <c:v>4.2089838108110393E-2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Kubus!$K$3</c:f>
              <c:strCache>
                <c:ptCount val="1"/>
                <c:pt idx="0">
                  <c:v>lijn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Kubus!$Q$3:$Q$4</c:f>
              <c:numCache>
                <c:formatCode>0.00</c:formatCode>
                <c:ptCount val="2"/>
                <c:pt idx="0">
                  <c:v>0</c:v>
                </c:pt>
                <c:pt idx="1">
                  <c:v>0.90630778703664994</c:v>
                </c:pt>
              </c:numCache>
            </c:numRef>
          </c:xVal>
          <c:yVal>
            <c:numRef>
              <c:f>Kubus!$R$3:$R$4</c:f>
              <c:numCache>
                <c:formatCode>0.00</c:formatCode>
                <c:ptCount val="2"/>
                <c:pt idx="0">
                  <c:v>0.59416084124494217</c:v>
                </c:pt>
                <c:pt idx="1">
                  <c:v>0.53534374723613642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Kubus!$K$6</c:f>
              <c:strCache>
                <c:ptCount val="1"/>
                <c:pt idx="0">
                  <c:v>lijn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Kubus!$Q$6:$Q$7</c:f>
              <c:numCache>
                <c:formatCode>0.00</c:formatCode>
                <c:ptCount val="2"/>
                <c:pt idx="0">
                  <c:v>0</c:v>
                </c:pt>
                <c:pt idx="1">
                  <c:v>0.90630778703664994</c:v>
                </c:pt>
              </c:numCache>
            </c:numRef>
          </c:xVal>
          <c:yVal>
            <c:numRef>
              <c:f>Kubus!$R$6:$R$7</c:f>
              <c:numCache>
                <c:formatCode>0.00</c:formatCode>
                <c:ptCount val="2"/>
                <c:pt idx="0">
                  <c:v>0.29708042062247109</c:v>
                </c:pt>
                <c:pt idx="1">
                  <c:v>0.23826332661366537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Kubus!$K$9</c:f>
              <c:strCache>
                <c:ptCount val="1"/>
                <c:pt idx="0">
                  <c:v>lijn 3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Kubus!$Q$9:$Q$10</c:f>
              <c:numCache>
                <c:formatCode>0.00</c:formatCode>
                <c:ptCount val="2"/>
                <c:pt idx="0">
                  <c:v>0.60420519135776662</c:v>
                </c:pt>
                <c:pt idx="1">
                  <c:v>0.60420519135776662</c:v>
                </c:pt>
              </c:numCache>
            </c:numRef>
          </c:xVal>
          <c:yVal>
            <c:numRef>
              <c:f>Kubus!$R$9:$R$10</c:f>
              <c:numCache>
                <c:formatCode>0.00</c:formatCode>
                <c:ptCount val="2"/>
                <c:pt idx="0">
                  <c:v>0.25786902461660061</c:v>
                </c:pt>
                <c:pt idx="1">
                  <c:v>0.55494944523907175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Kubus!$K$12</c:f>
              <c:strCache>
                <c:ptCount val="1"/>
                <c:pt idx="0">
                  <c:v>lijn 4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Kubus!$Q$12:$Q$13</c:f>
              <c:numCache>
                <c:formatCode>0.00</c:formatCode>
                <c:ptCount val="2"/>
                <c:pt idx="0">
                  <c:v>0.90630778703664994</c:v>
                </c:pt>
                <c:pt idx="1">
                  <c:v>1.4134497011254892</c:v>
                </c:pt>
              </c:numCache>
            </c:numRef>
          </c:xVal>
          <c:yVal>
            <c:numRef>
              <c:f>Kubus!$R$12:$R$13</c:f>
              <c:numCache>
                <c:formatCode>0.00</c:formatCode>
                <c:ptCount val="2"/>
                <c:pt idx="0">
                  <c:v>0.53534374723613642</c:v>
                </c:pt>
                <c:pt idx="1">
                  <c:v>0.68670414541151059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Kubus!$K$15</c:f>
              <c:strCache>
                <c:ptCount val="1"/>
                <c:pt idx="0">
                  <c:v>lijn 5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Kubus!$Q$15:$Q$16</c:f>
              <c:numCache>
                <c:formatCode>0.00</c:formatCode>
                <c:ptCount val="2"/>
                <c:pt idx="0">
                  <c:v>0.60420519135776662</c:v>
                </c:pt>
                <c:pt idx="1">
                  <c:v>1.111347105446606</c:v>
                </c:pt>
              </c:numCache>
            </c:numRef>
          </c:xVal>
          <c:yVal>
            <c:numRef>
              <c:f>Kubus!$R$15:$R$16</c:f>
              <c:numCache>
                <c:formatCode>0.00</c:formatCode>
                <c:ptCount val="2"/>
                <c:pt idx="0">
                  <c:v>0.55494944523907175</c:v>
                </c:pt>
                <c:pt idx="1">
                  <c:v>0.70630984341444591</c:v>
                </c:pt>
              </c:numCache>
            </c:numRef>
          </c:yVal>
          <c:smooth val="0"/>
        </c:ser>
        <c:ser>
          <c:idx val="8"/>
          <c:order val="7"/>
          <c:tx>
            <c:strRef>
              <c:f>Kubus!$K$18</c:f>
              <c:strCache>
                <c:ptCount val="1"/>
                <c:pt idx="0">
                  <c:v>lijn 6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Kubus!$Q$18:$Q$19</c:f>
              <c:numCache>
                <c:formatCode>0.00</c:formatCode>
                <c:ptCount val="2"/>
                <c:pt idx="0">
                  <c:v>0.90630778703664994</c:v>
                </c:pt>
                <c:pt idx="1">
                  <c:v>1.4134497011254892</c:v>
                </c:pt>
              </c:numCache>
            </c:numRef>
          </c:xVal>
          <c:yVal>
            <c:numRef>
              <c:f>Kubus!$R$18:$R$19</c:f>
              <c:numCache>
                <c:formatCode>0.00</c:formatCode>
                <c:ptCount val="2"/>
                <c:pt idx="0">
                  <c:v>0.23826332661366537</c:v>
                </c:pt>
                <c:pt idx="1">
                  <c:v>0.38962372478903951</c:v>
                </c:pt>
              </c:numCache>
            </c:numRef>
          </c:yVal>
          <c:smooth val="0"/>
        </c:ser>
        <c:ser>
          <c:idx val="9"/>
          <c:order val="8"/>
          <c:tx>
            <c:strRef>
              <c:f>Kubus!$K$21</c:f>
              <c:strCache>
                <c:ptCount val="1"/>
                <c:pt idx="0">
                  <c:v>lijn 7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Kubus!$Q$21:$Q$22</c:f>
              <c:numCache>
                <c:formatCode>0.00</c:formatCode>
                <c:ptCount val="2"/>
                <c:pt idx="0">
                  <c:v>1.4134497011254892</c:v>
                </c:pt>
                <c:pt idx="1">
                  <c:v>0.50714191408883935</c:v>
                </c:pt>
              </c:numCache>
            </c:numRef>
          </c:xVal>
          <c:yVal>
            <c:numRef>
              <c:f>Kubus!$R$21:$R$22</c:f>
              <c:numCache>
                <c:formatCode>0.00</c:formatCode>
                <c:ptCount val="2"/>
                <c:pt idx="0">
                  <c:v>0.68670414541151059</c:v>
                </c:pt>
                <c:pt idx="1">
                  <c:v>0.74552123942031634</c:v>
                </c:pt>
              </c:numCache>
            </c:numRef>
          </c:yVal>
          <c:smooth val="0"/>
        </c:ser>
        <c:ser>
          <c:idx val="6"/>
          <c:order val="9"/>
          <c:tx>
            <c:strRef>
              <c:f>Kubus!$K$24</c:f>
              <c:strCache>
                <c:ptCount val="1"/>
                <c:pt idx="0">
                  <c:v>lijn 8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Kubus!$Q$24:$Q$25</c:f>
              <c:numCache>
                <c:formatCode>0.00</c:formatCode>
                <c:ptCount val="2"/>
                <c:pt idx="0">
                  <c:v>0</c:v>
                </c:pt>
                <c:pt idx="1">
                  <c:v>0.50714191408883935</c:v>
                </c:pt>
              </c:numCache>
            </c:numRef>
          </c:xVal>
          <c:yVal>
            <c:numRef>
              <c:f>Kubus!$R$24:$R$25</c:f>
              <c:numCache>
                <c:formatCode>0.00</c:formatCode>
                <c:ptCount val="2"/>
                <c:pt idx="0">
                  <c:v>0.59416084124494217</c:v>
                </c:pt>
                <c:pt idx="1">
                  <c:v>0.74552123942031634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Kubus!$K$27</c:f>
              <c:strCache>
                <c:ptCount val="1"/>
                <c:pt idx="0">
                  <c:v>lijn 9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Kubus!$Q$27:$Q$28</c:f>
              <c:numCache>
                <c:formatCode>0.00</c:formatCode>
                <c:ptCount val="2"/>
                <c:pt idx="0">
                  <c:v>0.30210259567888331</c:v>
                </c:pt>
                <c:pt idx="1">
                  <c:v>0.30210259567888331</c:v>
                </c:pt>
              </c:numCache>
            </c:numRef>
          </c:xVal>
          <c:yVal>
            <c:numRef>
              <c:f>Kubus!$R$27:$R$28</c:f>
              <c:numCache>
                <c:formatCode>0.00</c:formatCode>
                <c:ptCount val="2"/>
                <c:pt idx="0">
                  <c:v>0.27747472261953587</c:v>
                </c:pt>
                <c:pt idx="1">
                  <c:v>0.57455514324200696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Kubus!$K$30</c:f>
              <c:strCache>
                <c:ptCount val="1"/>
                <c:pt idx="0">
                  <c:v>lijn 10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Kubus!$Q$30:$Q$31</c:f>
              <c:numCache>
                <c:formatCode>0.00</c:formatCode>
                <c:ptCount val="2"/>
                <c:pt idx="0">
                  <c:v>0.30210259567888331</c:v>
                </c:pt>
                <c:pt idx="1">
                  <c:v>0.80924450976772266</c:v>
                </c:pt>
              </c:numCache>
            </c:numRef>
          </c:xVal>
          <c:yVal>
            <c:numRef>
              <c:f>Kubus!$R$30:$R$31</c:f>
              <c:numCache>
                <c:formatCode>0.00</c:formatCode>
                <c:ptCount val="2"/>
                <c:pt idx="0">
                  <c:v>0.57455514324200696</c:v>
                </c:pt>
                <c:pt idx="1">
                  <c:v>0.72591554141738113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Kubus!$K$33</c:f>
              <c:strCache>
                <c:ptCount val="1"/>
                <c:pt idx="0">
                  <c:v>lijn 11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Kubus!$Q$33:$Q$34</c:f>
              <c:numCache>
                <c:formatCode>0.00</c:formatCode>
                <c:ptCount val="2"/>
                <c:pt idx="0">
                  <c:v>0</c:v>
                </c:pt>
                <c:pt idx="1">
                  <c:v>0.50714191408883935</c:v>
                </c:pt>
              </c:numCache>
            </c:numRef>
          </c:xVal>
          <c:yVal>
            <c:numRef>
              <c:f>Kubus!$R$33:$R$34</c:f>
              <c:numCache>
                <c:formatCode>0.00</c:formatCode>
                <c:ptCount val="2"/>
                <c:pt idx="0">
                  <c:v>0.29708042062247109</c:v>
                </c:pt>
                <c:pt idx="1">
                  <c:v>0.44844081879784525</c:v>
                </c:pt>
              </c:numCache>
            </c:numRef>
          </c:yVal>
          <c:smooth val="0"/>
        </c:ser>
        <c:ser>
          <c:idx val="14"/>
          <c:order val="13"/>
          <c:tx>
            <c:strRef>
              <c:f>Kubus!$K$36</c:f>
              <c:strCache>
                <c:ptCount val="1"/>
                <c:pt idx="0">
                  <c:v>lijn 12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Kubus!$Q$36:$Q$37</c:f>
              <c:numCache>
                <c:formatCode>0.00</c:formatCode>
                <c:ptCount val="2"/>
                <c:pt idx="0">
                  <c:v>1.4134497011254892</c:v>
                </c:pt>
                <c:pt idx="1">
                  <c:v>0.50714191408883935</c:v>
                </c:pt>
              </c:numCache>
            </c:numRef>
          </c:xVal>
          <c:yVal>
            <c:numRef>
              <c:f>Kubus!$R$36:$R$37</c:f>
              <c:numCache>
                <c:formatCode>0.00</c:formatCode>
                <c:ptCount val="2"/>
                <c:pt idx="0">
                  <c:v>0.38962372478903951</c:v>
                </c:pt>
                <c:pt idx="1">
                  <c:v>0.44844081879784525</c:v>
                </c:pt>
              </c:numCache>
            </c:numRef>
          </c:yVal>
          <c:smooth val="0"/>
        </c:ser>
        <c:ser>
          <c:idx val="15"/>
          <c:order val="14"/>
          <c:tx>
            <c:strRef>
              <c:f>Kubus!$K$39</c:f>
              <c:strCache>
                <c:ptCount val="1"/>
                <c:pt idx="0">
                  <c:v>lijn 13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Kubus!$Q$39:$Q$40</c:f>
              <c:numCache>
                <c:formatCode>0.00</c:formatCode>
                <c:ptCount val="2"/>
                <c:pt idx="0">
                  <c:v>0.30210259567888331</c:v>
                </c:pt>
                <c:pt idx="1">
                  <c:v>0.80924450976772266</c:v>
                </c:pt>
              </c:numCache>
            </c:numRef>
          </c:xVal>
          <c:yVal>
            <c:numRef>
              <c:f>Kubus!$R$39:$R$40</c:f>
              <c:numCache>
                <c:formatCode>0.00</c:formatCode>
                <c:ptCount val="2"/>
                <c:pt idx="0">
                  <c:v>0.27747472261953587</c:v>
                </c:pt>
                <c:pt idx="1">
                  <c:v>0.42883512079491004</c:v>
                </c:pt>
              </c:numCache>
            </c:numRef>
          </c:yVal>
          <c:smooth val="0"/>
        </c:ser>
        <c:ser>
          <c:idx val="16"/>
          <c:order val="15"/>
          <c:tx>
            <c:strRef>
              <c:f>Kubus!$K$42</c:f>
              <c:strCache>
                <c:ptCount val="1"/>
                <c:pt idx="0">
                  <c:v>lijn 14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Kubus!$Q$42:$Q$43</c:f>
              <c:numCache>
                <c:formatCode>0.00</c:formatCode>
                <c:ptCount val="2"/>
                <c:pt idx="0">
                  <c:v>0.60420519135776662</c:v>
                </c:pt>
                <c:pt idx="1">
                  <c:v>1.111347105446606</c:v>
                </c:pt>
              </c:numCache>
            </c:numRef>
          </c:xVal>
          <c:yVal>
            <c:numRef>
              <c:f>Kubus!$R$42:$R$43</c:f>
              <c:numCache>
                <c:formatCode>0.00</c:formatCode>
                <c:ptCount val="2"/>
                <c:pt idx="0">
                  <c:v>0.25786902461660061</c:v>
                </c:pt>
                <c:pt idx="1">
                  <c:v>0.40922942279197477</c:v>
                </c:pt>
              </c:numCache>
            </c:numRef>
          </c:yVal>
          <c:smooth val="0"/>
        </c:ser>
        <c:ser>
          <c:idx val="17"/>
          <c:order val="16"/>
          <c:tx>
            <c:strRef>
              <c:f>Kubus!$K$45</c:f>
              <c:strCache>
                <c:ptCount val="1"/>
                <c:pt idx="0">
                  <c:v>lijn 15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Kubus!$Q$45:$Q$46</c:f>
              <c:numCache>
                <c:formatCode>0.00</c:formatCode>
                <c:ptCount val="2"/>
                <c:pt idx="0">
                  <c:v>0.80924450976772266</c:v>
                </c:pt>
                <c:pt idx="1">
                  <c:v>0.80924450976772266</c:v>
                </c:pt>
              </c:numCache>
            </c:numRef>
          </c:xVal>
          <c:yVal>
            <c:numRef>
              <c:f>Kubus!$R$45:$R$46</c:f>
              <c:numCache>
                <c:formatCode>0.00</c:formatCode>
                <c:ptCount val="2"/>
                <c:pt idx="0">
                  <c:v>0.42883512079491004</c:v>
                </c:pt>
                <c:pt idx="1">
                  <c:v>0.72591554141738113</c:v>
                </c:pt>
              </c:numCache>
            </c:numRef>
          </c:yVal>
          <c:smooth val="0"/>
        </c:ser>
        <c:ser>
          <c:idx val="18"/>
          <c:order val="17"/>
          <c:tx>
            <c:strRef>
              <c:f>Kubus!$K$48</c:f>
              <c:strCache>
                <c:ptCount val="1"/>
                <c:pt idx="0">
                  <c:v>lijn 16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Kubus!$Q$48:$Q$49</c:f>
              <c:numCache>
                <c:formatCode>0.00</c:formatCode>
                <c:ptCount val="2"/>
                <c:pt idx="0">
                  <c:v>1.111347105446606</c:v>
                </c:pt>
                <c:pt idx="1">
                  <c:v>1.111347105446606</c:v>
                </c:pt>
              </c:numCache>
            </c:numRef>
          </c:xVal>
          <c:yVal>
            <c:numRef>
              <c:f>Kubus!$R$48:$R$49</c:f>
              <c:numCache>
                <c:formatCode>0.00</c:formatCode>
                <c:ptCount val="2"/>
                <c:pt idx="0">
                  <c:v>0.40922942279197477</c:v>
                </c:pt>
                <c:pt idx="1">
                  <c:v>0.70630984341444591</c:v>
                </c:pt>
              </c:numCache>
            </c:numRef>
          </c:yVal>
          <c:smooth val="0"/>
        </c:ser>
        <c:ser>
          <c:idx val="19"/>
          <c:order val="18"/>
          <c:tx>
            <c:strRef>
              <c:f>Kubus!$AC$3</c:f>
              <c:strCache>
                <c:ptCount val="1"/>
                <c:pt idx="0">
                  <c:v>categorie 1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Kubus!$AI$3:$AI$4</c:f>
              <c:numCache>
                <c:formatCode>0.00</c:formatCode>
                <c:ptCount val="2"/>
                <c:pt idx="0">
                  <c:v>-0.27189233611099495</c:v>
                </c:pt>
                <c:pt idx="1">
                  <c:v>-0.27189233611099495</c:v>
                </c:pt>
              </c:numCache>
            </c:numRef>
          </c:xVal>
          <c:yVal>
            <c:numRef>
              <c:f>Kubus!$AJ$3:$AJ$4</c:f>
              <c:numCache>
                <c:formatCode>0.00</c:formatCode>
                <c:ptCount val="2"/>
                <c:pt idx="0">
                  <c:v>1.7645128202641719E-2</c:v>
                </c:pt>
                <c:pt idx="1">
                  <c:v>0.90888639007005512</c:v>
                </c:pt>
              </c:numCache>
            </c:numRef>
          </c:yVal>
          <c:smooth val="0"/>
        </c:ser>
        <c:ser>
          <c:idx val="20"/>
          <c:order val="19"/>
          <c:tx>
            <c:strRef>
              <c:f>Kubus!$AC$6</c:f>
              <c:strCache>
                <c:ptCount val="1"/>
                <c:pt idx="0">
                  <c:v>categorie 2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Kubus!$AI$6:$AI$7</c:f>
              <c:numCache>
                <c:formatCode>0.00</c:formatCode>
                <c:ptCount val="2"/>
                <c:pt idx="0">
                  <c:v>0</c:v>
                </c:pt>
                <c:pt idx="1">
                  <c:v>0.90630778703664994</c:v>
                </c:pt>
              </c:numCache>
            </c:numRef>
          </c:xVal>
          <c:yVal>
            <c:numRef>
              <c:f>Kubus!$AJ$6:$AJ$7</c:f>
              <c:numCache>
                <c:formatCode>0.00</c:formatCode>
                <c:ptCount val="2"/>
                <c:pt idx="0">
                  <c:v>-0.17824825237348269</c:v>
                </c:pt>
                <c:pt idx="1">
                  <c:v>-0.23706534638228841</c:v>
                </c:pt>
              </c:numCache>
            </c:numRef>
          </c:yVal>
          <c:smooth val="0"/>
        </c:ser>
        <c:ser>
          <c:idx val="21"/>
          <c:order val="20"/>
          <c:tx>
            <c:strRef>
              <c:f>Kubus!$AC$9</c:f>
              <c:strCache>
                <c:ptCount val="1"/>
                <c:pt idx="0">
                  <c:v>categorie 3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Kubus!$AI$9:$AI$10</c:f>
              <c:numCache>
                <c:formatCode>0.00</c:formatCode>
                <c:ptCount val="2"/>
                <c:pt idx="0">
                  <c:v>1.3594616805549748</c:v>
                </c:pt>
                <c:pt idx="1">
                  <c:v>1.8666035946438142</c:v>
                </c:pt>
              </c:numCache>
            </c:numRef>
          </c:xVal>
          <c:yVal>
            <c:numRef>
              <c:f>Kubus!$AJ$9:$AJ$10</c:f>
              <c:numCache>
                <c:formatCode>0.00</c:formatCode>
                <c:ptCount val="2"/>
                <c:pt idx="0">
                  <c:v>-8.8225641013208594E-2</c:v>
                </c:pt>
                <c:pt idx="1">
                  <c:v>6.31347571621656E-2</c:v>
                </c:pt>
              </c:numCache>
            </c:numRef>
          </c:yVal>
          <c:smooth val="0"/>
        </c:ser>
        <c:ser>
          <c:idx val="22"/>
          <c:order val="21"/>
          <c:tx>
            <c:strRef>
              <c:f>Kubus!$AC$21</c:f>
              <c:strCache>
                <c:ptCount val="1"/>
                <c:pt idx="0">
                  <c:v>WHO BEARS THE EXP.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xVal>
            <c:numRef>
              <c:f>Kubus!$AI$21</c:f>
              <c:numCache>
                <c:formatCode>General</c:formatCode>
                <c:ptCount val="1"/>
              </c:numCache>
            </c:numRef>
          </c:xVal>
          <c:yVal>
            <c:numRef>
              <c:f>Kubus!$AJ$21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3"/>
          <c:order val="22"/>
          <c:tx>
            <c:strRef>
              <c:f>Kubus!$AC$22</c:f>
              <c:strCache>
                <c:ptCount val="1"/>
                <c:pt idx="0">
                  <c:v>GOAL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Kubus!$AI$22</c:f>
              <c:numCache>
                <c:formatCode>0.00</c:formatCode>
                <c:ptCount val="1"/>
                <c:pt idx="0">
                  <c:v>0.31720772546282744</c:v>
                </c:pt>
              </c:numCache>
            </c:numRef>
          </c:xVal>
          <c:yVal>
            <c:numRef>
              <c:f>Kubus!$AJ$22</c:f>
              <c:numCache>
                <c:formatCode>0.00</c:formatCode>
                <c:ptCount val="1"/>
                <c:pt idx="0">
                  <c:v>-0.287958361463306</c:v>
                </c:pt>
              </c:numCache>
            </c:numRef>
          </c:yVal>
          <c:smooth val="0"/>
        </c:ser>
        <c:ser>
          <c:idx val="24"/>
          <c:order val="23"/>
          <c:tx>
            <c:strRef>
              <c:f>Kubus!$AC$23</c:f>
              <c:strCache>
                <c:ptCount val="1"/>
                <c:pt idx="0">
                  <c:v>MEANS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Kubus!$AI$23</c:f>
              <c:numCache>
                <c:formatCode>0.00</c:formatCode>
                <c:ptCount val="1"/>
                <c:pt idx="0">
                  <c:v>1.6022350334852917</c:v>
                </c:pt>
              </c:numCache>
            </c:numRef>
          </c:xVal>
          <c:yVal>
            <c:numRef>
              <c:f>Kubus!$AJ$23</c:f>
              <c:numCache>
                <c:formatCode>0.00</c:formatCode>
                <c:ptCount val="1"/>
                <c:pt idx="0">
                  <c:v>-4.8699230961476915E-2</c:v>
                </c:pt>
              </c:numCache>
            </c:numRef>
          </c:yVal>
          <c:smooth val="0"/>
        </c:ser>
        <c:ser>
          <c:idx val="25"/>
          <c:order val="24"/>
          <c:tx>
            <c:strRef>
              <c:f>Kubus!$B$3</c:f>
              <c:strCache>
                <c:ptCount val="1"/>
                <c:pt idx="0">
                  <c:v>rib 1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Kubus!$H$3:$H$4</c:f>
              <c:numCache>
                <c:formatCode>General</c:formatCode>
                <c:ptCount val="2"/>
                <c:pt idx="0">
                  <c:v>0</c:v>
                </c:pt>
                <c:pt idx="1">
                  <c:v>0.90630778703664994</c:v>
                </c:pt>
              </c:numCache>
            </c:numRef>
          </c:xVal>
          <c:yVal>
            <c:numRef>
              <c:f>Kubus!$I$3:$I$4</c:f>
              <c:numCache>
                <c:formatCode>General</c:formatCode>
                <c:ptCount val="2"/>
                <c:pt idx="0">
                  <c:v>0</c:v>
                </c:pt>
                <c:pt idx="1">
                  <c:v>-5.8817094008805727E-2</c:v>
                </c:pt>
              </c:numCache>
            </c:numRef>
          </c:yVal>
          <c:smooth val="0"/>
        </c:ser>
        <c:ser>
          <c:idx val="26"/>
          <c:order val="25"/>
          <c:tx>
            <c:strRef>
              <c:f>Kubus!$B$6</c:f>
              <c:strCache>
                <c:ptCount val="1"/>
                <c:pt idx="0">
                  <c:v>rib 2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Kubus!$H$6:$H$7</c:f>
              <c:numCache>
                <c:formatCode>General</c:formatCode>
                <c:ptCount val="2"/>
                <c:pt idx="0">
                  <c:v>0.90630778703664994</c:v>
                </c:pt>
                <c:pt idx="1">
                  <c:v>1.4134497011254892</c:v>
                </c:pt>
              </c:numCache>
            </c:numRef>
          </c:xVal>
          <c:yVal>
            <c:numRef>
              <c:f>Kubus!$I$6:$I$7</c:f>
              <c:numCache>
                <c:formatCode>General</c:formatCode>
                <c:ptCount val="2"/>
                <c:pt idx="0">
                  <c:v>-5.8817094008805727E-2</c:v>
                </c:pt>
                <c:pt idx="1">
                  <c:v>9.2543304166568474E-2</c:v>
                </c:pt>
              </c:numCache>
            </c:numRef>
          </c:yVal>
          <c:smooth val="0"/>
        </c:ser>
        <c:ser>
          <c:idx val="27"/>
          <c:order val="26"/>
          <c:tx>
            <c:strRef>
              <c:f>Kubus!$B$9</c:f>
              <c:strCache>
                <c:ptCount val="1"/>
                <c:pt idx="0">
                  <c:v>rib 3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Kubus!$H$9:$H$10</c:f>
              <c:numCache>
                <c:formatCode>General</c:formatCode>
                <c:ptCount val="2"/>
                <c:pt idx="0">
                  <c:v>0.50714191408883935</c:v>
                </c:pt>
                <c:pt idx="1">
                  <c:v>1.4134497011254892</c:v>
                </c:pt>
              </c:numCache>
            </c:numRef>
          </c:xVal>
          <c:yVal>
            <c:numRef>
              <c:f>Kubus!$I$9:$I$10</c:f>
              <c:numCache>
                <c:formatCode>General</c:formatCode>
                <c:ptCount val="2"/>
                <c:pt idx="0">
                  <c:v>0.15136039817537419</c:v>
                </c:pt>
                <c:pt idx="1">
                  <c:v>9.2543304166568474E-2</c:v>
                </c:pt>
              </c:numCache>
            </c:numRef>
          </c:yVal>
          <c:smooth val="0"/>
        </c:ser>
        <c:ser>
          <c:idx val="28"/>
          <c:order val="27"/>
          <c:tx>
            <c:strRef>
              <c:f>Kubus!$B$12</c:f>
              <c:strCache>
                <c:ptCount val="1"/>
                <c:pt idx="0">
                  <c:v>rib 4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Kubus!$H$12:$H$13</c:f>
              <c:numCache>
                <c:formatCode>General</c:formatCode>
                <c:ptCount val="2"/>
                <c:pt idx="0">
                  <c:v>0</c:v>
                </c:pt>
                <c:pt idx="1">
                  <c:v>0.50714191408883935</c:v>
                </c:pt>
              </c:numCache>
            </c:numRef>
          </c:xVal>
          <c:yVal>
            <c:numRef>
              <c:f>Kubus!$I$12:$I$13</c:f>
              <c:numCache>
                <c:formatCode>General</c:formatCode>
                <c:ptCount val="2"/>
                <c:pt idx="0">
                  <c:v>0</c:v>
                </c:pt>
                <c:pt idx="1">
                  <c:v>0.15136039817537419</c:v>
                </c:pt>
              </c:numCache>
            </c:numRef>
          </c:yVal>
          <c:smooth val="0"/>
        </c:ser>
        <c:ser>
          <c:idx val="29"/>
          <c:order val="28"/>
          <c:tx>
            <c:strRef>
              <c:f>Kubus!$B$15</c:f>
              <c:strCache>
                <c:ptCount val="1"/>
                <c:pt idx="0">
                  <c:v>rib 5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Kubus!$H$15:$H$16</c:f>
              <c:numCache>
                <c:formatCode>General</c:formatCode>
                <c:ptCount val="2"/>
                <c:pt idx="0">
                  <c:v>0</c:v>
                </c:pt>
                <c:pt idx="1">
                  <c:v>0.90630778703664994</c:v>
                </c:pt>
              </c:numCache>
            </c:numRef>
          </c:xVal>
          <c:yVal>
            <c:numRef>
              <c:f>Kubus!$I$15:$I$16</c:f>
              <c:numCache>
                <c:formatCode>General</c:formatCode>
                <c:ptCount val="2"/>
                <c:pt idx="0">
                  <c:v>0.89124126186741337</c:v>
                </c:pt>
                <c:pt idx="1">
                  <c:v>0.83242416785860762</c:v>
                </c:pt>
              </c:numCache>
            </c:numRef>
          </c:yVal>
          <c:smooth val="0"/>
        </c:ser>
        <c:ser>
          <c:idx val="30"/>
          <c:order val="29"/>
          <c:tx>
            <c:strRef>
              <c:f>Kubus!$B$18</c:f>
              <c:strCache>
                <c:ptCount val="1"/>
                <c:pt idx="0">
                  <c:v>rib 6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Kubus!$H$18:$H$19</c:f>
              <c:numCache>
                <c:formatCode>General</c:formatCode>
                <c:ptCount val="2"/>
                <c:pt idx="0">
                  <c:v>0.90630778703664994</c:v>
                </c:pt>
                <c:pt idx="1">
                  <c:v>1.4134497011254892</c:v>
                </c:pt>
              </c:numCache>
            </c:numRef>
          </c:xVal>
          <c:yVal>
            <c:numRef>
              <c:f>Kubus!$I$18:$I$19</c:f>
              <c:numCache>
                <c:formatCode>General</c:formatCode>
                <c:ptCount val="2"/>
                <c:pt idx="0">
                  <c:v>0.83242416785860762</c:v>
                </c:pt>
                <c:pt idx="1">
                  <c:v>0.9837845660339819</c:v>
                </c:pt>
              </c:numCache>
            </c:numRef>
          </c:yVal>
          <c:smooth val="0"/>
        </c:ser>
        <c:ser>
          <c:idx val="31"/>
          <c:order val="30"/>
          <c:tx>
            <c:strRef>
              <c:f>Kubus!$B$21</c:f>
              <c:strCache>
                <c:ptCount val="1"/>
                <c:pt idx="0">
                  <c:v>rib 7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Kubus!$H$21:$H$22</c:f>
              <c:numCache>
                <c:formatCode>General</c:formatCode>
                <c:ptCount val="2"/>
                <c:pt idx="0">
                  <c:v>0.50714191408883935</c:v>
                </c:pt>
                <c:pt idx="1">
                  <c:v>1.4134497011254892</c:v>
                </c:pt>
              </c:numCache>
            </c:numRef>
          </c:xVal>
          <c:yVal>
            <c:numRef>
              <c:f>Kubus!$I$21:$I$22</c:f>
              <c:numCache>
                <c:formatCode>General</c:formatCode>
                <c:ptCount val="2"/>
                <c:pt idx="0">
                  <c:v>1.0426016600427876</c:v>
                </c:pt>
                <c:pt idx="1">
                  <c:v>0.9837845660339819</c:v>
                </c:pt>
              </c:numCache>
            </c:numRef>
          </c:yVal>
          <c:smooth val="0"/>
        </c:ser>
        <c:ser>
          <c:idx val="32"/>
          <c:order val="31"/>
          <c:tx>
            <c:strRef>
              <c:f>Kubus!$B$24</c:f>
              <c:strCache>
                <c:ptCount val="1"/>
                <c:pt idx="0">
                  <c:v>rib 8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Kubus!$H$24:$H$25</c:f>
              <c:numCache>
                <c:formatCode>General</c:formatCode>
                <c:ptCount val="2"/>
                <c:pt idx="0">
                  <c:v>0</c:v>
                </c:pt>
                <c:pt idx="1">
                  <c:v>0.50714191408883935</c:v>
                </c:pt>
              </c:numCache>
            </c:numRef>
          </c:xVal>
          <c:yVal>
            <c:numRef>
              <c:f>Kubus!$I$24:$I$25</c:f>
              <c:numCache>
                <c:formatCode>General</c:formatCode>
                <c:ptCount val="2"/>
                <c:pt idx="0">
                  <c:v>0.89124126186741337</c:v>
                </c:pt>
                <c:pt idx="1">
                  <c:v>1.0426016600427876</c:v>
                </c:pt>
              </c:numCache>
            </c:numRef>
          </c:yVal>
          <c:smooth val="0"/>
        </c:ser>
        <c:ser>
          <c:idx val="33"/>
          <c:order val="32"/>
          <c:tx>
            <c:strRef>
              <c:f>Kubus!$B$27</c:f>
              <c:strCache>
                <c:ptCount val="1"/>
                <c:pt idx="0">
                  <c:v>rib 9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Kubus!$H$27:$H$28</c:f>
              <c:numCache>
                <c:formatCode>General</c:formatCode>
                <c:ptCount val="2"/>
                <c:pt idx="0">
                  <c:v>0.90630778703664994</c:v>
                </c:pt>
                <c:pt idx="1">
                  <c:v>0.90630778703664994</c:v>
                </c:pt>
              </c:numCache>
            </c:numRef>
          </c:xVal>
          <c:yVal>
            <c:numRef>
              <c:f>Kubus!$I$27:$I$28</c:f>
              <c:numCache>
                <c:formatCode>General</c:formatCode>
                <c:ptCount val="2"/>
                <c:pt idx="0">
                  <c:v>-5.8817094008805727E-2</c:v>
                </c:pt>
                <c:pt idx="1">
                  <c:v>0.83242416785860762</c:v>
                </c:pt>
              </c:numCache>
            </c:numRef>
          </c:yVal>
          <c:smooth val="0"/>
        </c:ser>
        <c:ser>
          <c:idx val="34"/>
          <c:order val="33"/>
          <c:tx>
            <c:strRef>
              <c:f>Kubus!$B$30</c:f>
              <c:strCache>
                <c:ptCount val="1"/>
                <c:pt idx="0">
                  <c:v>rib 10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Kubus!$H$30:$H$31</c:f>
              <c:numCache>
                <c:formatCode>General</c:formatCode>
                <c:ptCount val="2"/>
                <c:pt idx="0">
                  <c:v>1.4134497011254892</c:v>
                </c:pt>
                <c:pt idx="1">
                  <c:v>1.4134497011254892</c:v>
                </c:pt>
              </c:numCache>
            </c:numRef>
          </c:xVal>
          <c:yVal>
            <c:numRef>
              <c:f>Kubus!$I$30:$I$31</c:f>
              <c:numCache>
                <c:formatCode>General</c:formatCode>
                <c:ptCount val="2"/>
                <c:pt idx="0">
                  <c:v>9.2543304166568474E-2</c:v>
                </c:pt>
                <c:pt idx="1">
                  <c:v>0.9837845660339819</c:v>
                </c:pt>
              </c:numCache>
            </c:numRef>
          </c:yVal>
          <c:smooth val="0"/>
        </c:ser>
        <c:ser>
          <c:idx val="35"/>
          <c:order val="34"/>
          <c:tx>
            <c:strRef>
              <c:f>Kubus!$B$33</c:f>
              <c:strCache>
                <c:ptCount val="1"/>
                <c:pt idx="0">
                  <c:v>rib 11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Kubus!$H$33:$H$34</c:f>
              <c:numCache>
                <c:formatCode>General</c:formatCode>
                <c:ptCount val="2"/>
                <c:pt idx="0">
                  <c:v>0.50714191408883935</c:v>
                </c:pt>
                <c:pt idx="1">
                  <c:v>0.50714191408883935</c:v>
                </c:pt>
              </c:numCache>
            </c:numRef>
          </c:xVal>
          <c:yVal>
            <c:numRef>
              <c:f>Kubus!$I$33:$I$34</c:f>
              <c:numCache>
                <c:formatCode>General</c:formatCode>
                <c:ptCount val="2"/>
                <c:pt idx="0">
                  <c:v>0.15136039817537419</c:v>
                </c:pt>
                <c:pt idx="1">
                  <c:v>1.0426016600427876</c:v>
                </c:pt>
              </c:numCache>
            </c:numRef>
          </c:yVal>
          <c:smooth val="0"/>
        </c:ser>
        <c:ser>
          <c:idx val="36"/>
          <c:order val="35"/>
          <c:tx>
            <c:strRef>
              <c:f>Kubus!$B$36</c:f>
              <c:strCache>
                <c:ptCount val="1"/>
                <c:pt idx="0">
                  <c:v>rib 12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Kubus!$H$36:$H$37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Kubus!$I$36:$I$37</c:f>
              <c:numCache>
                <c:formatCode>General</c:formatCode>
                <c:ptCount val="2"/>
                <c:pt idx="0">
                  <c:v>0</c:v>
                </c:pt>
                <c:pt idx="1">
                  <c:v>0.89124126186741337</c:v>
                </c:pt>
              </c:numCache>
            </c:numRef>
          </c:yVal>
          <c:smooth val="0"/>
        </c:ser>
        <c:ser>
          <c:idx val="2"/>
          <c:order val="36"/>
          <c:tx>
            <c:strRef>
              <c:f>Kubus!$T$3</c:f>
              <c:strCache>
                <c:ptCount val="1"/>
                <c:pt idx="0">
                  <c:v>arceringsbalk 1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Kubus!$Z$3:$Z$4</c:f>
              <c:numCache>
                <c:formatCode>0.00</c:formatCode>
                <c:ptCount val="2"/>
                <c:pt idx="0">
                  <c:v>0.90630778703664994</c:v>
                </c:pt>
                <c:pt idx="1">
                  <c:v>1.4134497011254892</c:v>
                </c:pt>
              </c:numCache>
            </c:numRef>
          </c:xVal>
          <c:yVal>
            <c:numRef>
              <c:f>Kubus!$AA$3:$AA$4</c:f>
              <c:numCache>
                <c:formatCode>0.00</c:formatCode>
                <c:ptCount val="2"/>
                <c:pt idx="0">
                  <c:v>0.23826332661366537</c:v>
                </c:pt>
                <c:pt idx="1">
                  <c:v>0.38962372478903951</c:v>
                </c:pt>
              </c:numCache>
            </c:numRef>
          </c:yVal>
          <c:smooth val="0"/>
        </c:ser>
        <c:ser>
          <c:idx val="37"/>
          <c:order val="37"/>
          <c:tx>
            <c:strRef>
              <c:f>Kubus!$T$5</c:f>
              <c:strCache>
                <c:ptCount val="1"/>
                <c:pt idx="0">
                  <c:v>arceringsbalk 2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Kubus!$Z$5:$Z$6</c:f>
              <c:numCache>
                <c:formatCode>0.00</c:formatCode>
                <c:ptCount val="2"/>
                <c:pt idx="0">
                  <c:v>0.90630778703664994</c:v>
                </c:pt>
                <c:pt idx="1">
                  <c:v>1.4134497011254892</c:v>
                </c:pt>
              </c:numCache>
            </c:numRef>
          </c:xVal>
          <c:yVal>
            <c:numRef>
              <c:f>Kubus!$AA$5:$AA$6</c:f>
              <c:numCache>
                <c:formatCode>0.00</c:formatCode>
                <c:ptCount val="2"/>
                <c:pt idx="0">
                  <c:v>0.27127226223838435</c:v>
                </c:pt>
                <c:pt idx="1">
                  <c:v>0.42263266041375858</c:v>
                </c:pt>
              </c:numCache>
            </c:numRef>
          </c:yVal>
          <c:smooth val="0"/>
        </c:ser>
        <c:ser>
          <c:idx val="38"/>
          <c:order val="38"/>
          <c:tx>
            <c:strRef>
              <c:f>Kubus!$T$7</c:f>
              <c:strCache>
                <c:ptCount val="1"/>
                <c:pt idx="0">
                  <c:v>arceringsbalk 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Kubus!$Z$7:$Z$8</c:f>
              <c:numCache>
                <c:formatCode>0.00</c:formatCode>
                <c:ptCount val="2"/>
                <c:pt idx="0">
                  <c:v>0.90630778703664994</c:v>
                </c:pt>
                <c:pt idx="1">
                  <c:v>1.4134497011254892</c:v>
                </c:pt>
              </c:numCache>
            </c:numRef>
          </c:xVal>
          <c:yVal>
            <c:numRef>
              <c:f>Kubus!$AA$7:$AA$8</c:f>
              <c:numCache>
                <c:formatCode>0.00</c:formatCode>
                <c:ptCount val="2"/>
                <c:pt idx="0">
                  <c:v>0.30428119786310337</c:v>
                </c:pt>
                <c:pt idx="1">
                  <c:v>0.45564159603847754</c:v>
                </c:pt>
              </c:numCache>
            </c:numRef>
          </c:yVal>
          <c:smooth val="0"/>
        </c:ser>
        <c:ser>
          <c:idx val="39"/>
          <c:order val="39"/>
          <c:tx>
            <c:strRef>
              <c:f>Kubus!$T$9</c:f>
              <c:strCache>
                <c:ptCount val="1"/>
                <c:pt idx="0">
                  <c:v>arceringsbalk 4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Kubus!$Z$9:$Z$10</c:f>
              <c:numCache>
                <c:formatCode>0.00</c:formatCode>
                <c:ptCount val="2"/>
                <c:pt idx="0">
                  <c:v>0.90630778703664994</c:v>
                </c:pt>
                <c:pt idx="1">
                  <c:v>1.4134497011254892</c:v>
                </c:pt>
              </c:numCache>
            </c:numRef>
          </c:xVal>
          <c:yVal>
            <c:numRef>
              <c:f>Kubus!$AA$9:$AA$10</c:f>
              <c:numCache>
                <c:formatCode>0.00</c:formatCode>
                <c:ptCount val="2"/>
                <c:pt idx="0">
                  <c:v>0.33729013348782244</c:v>
                </c:pt>
                <c:pt idx="1">
                  <c:v>0.48865053166319661</c:v>
                </c:pt>
              </c:numCache>
            </c:numRef>
          </c:yVal>
          <c:smooth val="0"/>
        </c:ser>
        <c:ser>
          <c:idx val="40"/>
          <c:order val="40"/>
          <c:tx>
            <c:strRef>
              <c:f>Kubus!$T$11</c:f>
              <c:strCache>
                <c:ptCount val="1"/>
                <c:pt idx="0">
                  <c:v>arceringsbalk 5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Kubus!$Z$11:$Z$12</c:f>
              <c:numCache>
                <c:formatCode>0.00</c:formatCode>
                <c:ptCount val="2"/>
                <c:pt idx="0">
                  <c:v>0.90630778703664994</c:v>
                </c:pt>
                <c:pt idx="1">
                  <c:v>1.4134497011254892</c:v>
                </c:pt>
              </c:numCache>
            </c:numRef>
          </c:xVal>
          <c:yVal>
            <c:numRef>
              <c:f>Kubus!$AA$11:$AA$12</c:f>
              <c:numCache>
                <c:formatCode>0.00</c:formatCode>
                <c:ptCount val="2"/>
                <c:pt idx="0">
                  <c:v>0.3702990691125414</c:v>
                </c:pt>
                <c:pt idx="1">
                  <c:v>0.52165946728791557</c:v>
                </c:pt>
              </c:numCache>
            </c:numRef>
          </c:yVal>
          <c:smooth val="0"/>
        </c:ser>
        <c:ser>
          <c:idx val="41"/>
          <c:order val="41"/>
          <c:tx>
            <c:strRef>
              <c:f>Kubus!$T$13</c:f>
              <c:strCache>
                <c:ptCount val="1"/>
                <c:pt idx="0">
                  <c:v>arceringsbalk 6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Kubus!$Z$13:$Z$14</c:f>
              <c:numCache>
                <c:formatCode>0.00</c:formatCode>
                <c:ptCount val="2"/>
                <c:pt idx="0">
                  <c:v>0.90630778703664994</c:v>
                </c:pt>
                <c:pt idx="1">
                  <c:v>1.4134497011254892</c:v>
                </c:pt>
              </c:numCache>
            </c:numRef>
          </c:xVal>
          <c:yVal>
            <c:numRef>
              <c:f>Kubus!$AA$13:$AA$14</c:f>
              <c:numCache>
                <c:formatCode>0.00</c:formatCode>
                <c:ptCount val="2"/>
                <c:pt idx="0">
                  <c:v>0.40330800473726042</c:v>
                </c:pt>
                <c:pt idx="1">
                  <c:v>0.55466840291263464</c:v>
                </c:pt>
              </c:numCache>
            </c:numRef>
          </c:yVal>
          <c:smooth val="0"/>
        </c:ser>
        <c:ser>
          <c:idx val="42"/>
          <c:order val="42"/>
          <c:tx>
            <c:strRef>
              <c:f>Kubus!$T$15</c:f>
              <c:strCache>
                <c:ptCount val="1"/>
                <c:pt idx="0">
                  <c:v>arceringsbalk 7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Kubus!$Z$15:$Z$16</c:f>
              <c:numCache>
                <c:formatCode>0.00</c:formatCode>
                <c:ptCount val="2"/>
                <c:pt idx="0">
                  <c:v>0.90630778703664994</c:v>
                </c:pt>
                <c:pt idx="1">
                  <c:v>1.4134497011254892</c:v>
                </c:pt>
              </c:numCache>
            </c:numRef>
          </c:xVal>
          <c:yVal>
            <c:numRef>
              <c:f>Kubus!$AA$15:$AA$16</c:f>
              <c:numCache>
                <c:formatCode>0.00</c:formatCode>
                <c:ptCount val="2"/>
                <c:pt idx="0">
                  <c:v>0.43631694036197943</c:v>
                </c:pt>
                <c:pt idx="1">
                  <c:v>0.5876773385373536</c:v>
                </c:pt>
              </c:numCache>
            </c:numRef>
          </c:yVal>
          <c:smooth val="0"/>
        </c:ser>
        <c:ser>
          <c:idx val="43"/>
          <c:order val="43"/>
          <c:tx>
            <c:strRef>
              <c:f>Kubus!$T$17</c:f>
              <c:strCache>
                <c:ptCount val="1"/>
                <c:pt idx="0">
                  <c:v>arceringsbalk 8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Kubus!$Z$17:$Z$18</c:f>
              <c:numCache>
                <c:formatCode>0.00</c:formatCode>
                <c:ptCount val="2"/>
                <c:pt idx="0">
                  <c:v>0.90630778703664994</c:v>
                </c:pt>
                <c:pt idx="1">
                  <c:v>1.4134497011254892</c:v>
                </c:pt>
              </c:numCache>
            </c:numRef>
          </c:xVal>
          <c:yVal>
            <c:numRef>
              <c:f>Kubus!$AA$17:$AA$18</c:f>
              <c:numCache>
                <c:formatCode>0.00</c:formatCode>
                <c:ptCount val="2"/>
                <c:pt idx="0">
                  <c:v>0.46932587598669839</c:v>
                </c:pt>
                <c:pt idx="1">
                  <c:v>0.62068627416207256</c:v>
                </c:pt>
              </c:numCache>
            </c:numRef>
          </c:yVal>
          <c:smooth val="0"/>
        </c:ser>
        <c:ser>
          <c:idx val="44"/>
          <c:order val="44"/>
          <c:tx>
            <c:strRef>
              <c:f>Kubus!$T$19</c:f>
              <c:strCache>
                <c:ptCount val="1"/>
                <c:pt idx="0">
                  <c:v>arceringsbalk 9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Kubus!$Z$19:$Z$20</c:f>
              <c:numCache>
                <c:formatCode>0.00</c:formatCode>
                <c:ptCount val="2"/>
                <c:pt idx="0">
                  <c:v>0.90630778703664994</c:v>
                </c:pt>
                <c:pt idx="1">
                  <c:v>1.4134497011254892</c:v>
                </c:pt>
              </c:numCache>
            </c:numRef>
          </c:xVal>
          <c:yVal>
            <c:numRef>
              <c:f>Kubus!$AA$19:$AA$20</c:f>
              <c:numCache>
                <c:formatCode>0.00</c:formatCode>
                <c:ptCount val="2"/>
                <c:pt idx="0">
                  <c:v>0.50233481161141746</c:v>
                </c:pt>
                <c:pt idx="1">
                  <c:v>0.65369520978679163</c:v>
                </c:pt>
              </c:numCache>
            </c:numRef>
          </c:yVal>
          <c:smooth val="0"/>
        </c:ser>
        <c:ser>
          <c:idx val="45"/>
          <c:order val="45"/>
          <c:tx>
            <c:strRef>
              <c:f>Kubus!$T$21</c:f>
              <c:strCache>
                <c:ptCount val="1"/>
                <c:pt idx="0">
                  <c:v>arceringsbalk 10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Kubus!$Z$21:$Z$22</c:f>
              <c:numCache>
                <c:formatCode>0.00</c:formatCode>
                <c:ptCount val="2"/>
                <c:pt idx="0">
                  <c:v>0.90630778703664994</c:v>
                </c:pt>
                <c:pt idx="1">
                  <c:v>1.4134497011254892</c:v>
                </c:pt>
              </c:numCache>
            </c:numRef>
          </c:xVal>
          <c:yVal>
            <c:numRef>
              <c:f>Kubus!$AA$21:$AA$22</c:f>
              <c:numCache>
                <c:formatCode>0.00</c:formatCode>
                <c:ptCount val="2"/>
                <c:pt idx="0">
                  <c:v>0.53534374723613642</c:v>
                </c:pt>
                <c:pt idx="1">
                  <c:v>0.68670414541151059</c:v>
                </c:pt>
              </c:numCache>
            </c:numRef>
          </c:yVal>
          <c:smooth val="0"/>
        </c:ser>
        <c:ser>
          <c:idx val="46"/>
          <c:order val="46"/>
          <c:tx>
            <c:strRef>
              <c:f>Kubus!$T$23</c:f>
              <c:strCache>
                <c:ptCount val="1"/>
                <c:pt idx="0">
                  <c:v>arceringsbalk 11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Kubus!$Z$23:$Z$24</c:f>
              <c:numCache>
                <c:formatCode>0.00</c:formatCode>
                <c:ptCount val="2"/>
                <c:pt idx="0">
                  <c:v>0.60420519135776662</c:v>
                </c:pt>
                <c:pt idx="1">
                  <c:v>0.90630778703664994</c:v>
                </c:pt>
              </c:numCache>
            </c:numRef>
          </c:xVal>
          <c:yVal>
            <c:numRef>
              <c:f>Kubus!$AA$23:$AA$24</c:f>
              <c:numCache>
                <c:formatCode>0.00</c:formatCode>
                <c:ptCount val="2"/>
                <c:pt idx="0">
                  <c:v>0.55494944523907175</c:v>
                </c:pt>
                <c:pt idx="1">
                  <c:v>0.53534374723613642</c:v>
                </c:pt>
              </c:numCache>
            </c:numRef>
          </c:yVal>
          <c:smooth val="0"/>
        </c:ser>
        <c:ser>
          <c:idx val="47"/>
          <c:order val="47"/>
          <c:tx>
            <c:strRef>
              <c:f>Kubus!$T$25</c:f>
              <c:strCache>
                <c:ptCount val="1"/>
                <c:pt idx="0">
                  <c:v>arceringsbalk 12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Kubus!$Z$25:$Z$26</c:f>
              <c:numCache>
                <c:formatCode>0.00</c:formatCode>
                <c:ptCount val="2"/>
                <c:pt idx="0">
                  <c:v>0.66055429292319323</c:v>
                </c:pt>
                <c:pt idx="1">
                  <c:v>0.96265688860207654</c:v>
                </c:pt>
              </c:numCache>
            </c:numRef>
          </c:xVal>
          <c:yVal>
            <c:numRef>
              <c:f>Kubus!$AA$25:$AA$26</c:f>
              <c:numCache>
                <c:formatCode>0.00</c:formatCode>
                <c:ptCount val="2"/>
                <c:pt idx="0">
                  <c:v>0.57176726725855764</c:v>
                </c:pt>
                <c:pt idx="1">
                  <c:v>0.55216156925562243</c:v>
                </c:pt>
              </c:numCache>
            </c:numRef>
          </c:yVal>
          <c:smooth val="0"/>
        </c:ser>
        <c:ser>
          <c:idx val="48"/>
          <c:order val="48"/>
          <c:tx>
            <c:strRef>
              <c:f>Kubus!$T$27</c:f>
              <c:strCache>
                <c:ptCount val="1"/>
                <c:pt idx="0">
                  <c:v>arceringsbalk 13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Kubus!$Z$27:$Z$28</c:f>
              <c:numCache>
                <c:formatCode>0.00</c:formatCode>
                <c:ptCount val="2"/>
                <c:pt idx="0">
                  <c:v>0.71690339448861984</c:v>
                </c:pt>
                <c:pt idx="1">
                  <c:v>1.019005990167503</c:v>
                </c:pt>
              </c:numCache>
            </c:numRef>
          </c:xVal>
          <c:yVal>
            <c:numRef>
              <c:f>Kubus!$AA$27:$AA$28</c:f>
              <c:numCache>
                <c:formatCode>0.00</c:formatCode>
                <c:ptCount val="2"/>
                <c:pt idx="0">
                  <c:v>0.58858508927804376</c:v>
                </c:pt>
                <c:pt idx="1">
                  <c:v>0.56897939127510844</c:v>
                </c:pt>
              </c:numCache>
            </c:numRef>
          </c:yVal>
          <c:smooth val="0"/>
        </c:ser>
        <c:ser>
          <c:idx val="49"/>
          <c:order val="49"/>
          <c:tx>
            <c:strRef>
              <c:f>Kubus!$T$29</c:f>
              <c:strCache>
                <c:ptCount val="1"/>
                <c:pt idx="0">
                  <c:v>arceringsbalk 14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Kubus!$Z$29:$Z$30</c:f>
              <c:numCache>
                <c:formatCode>0.00</c:formatCode>
                <c:ptCount val="2"/>
                <c:pt idx="0">
                  <c:v>0.77325249605404645</c:v>
                </c:pt>
                <c:pt idx="1">
                  <c:v>1.0753550917329298</c:v>
                </c:pt>
              </c:numCache>
            </c:numRef>
          </c:xVal>
          <c:yVal>
            <c:numRef>
              <c:f>Kubus!$AA$29:$AA$30</c:f>
              <c:numCache>
                <c:formatCode>0.00</c:formatCode>
                <c:ptCount val="2"/>
                <c:pt idx="0">
                  <c:v>0.60540291129752966</c:v>
                </c:pt>
                <c:pt idx="1">
                  <c:v>0.58579721329459444</c:v>
                </c:pt>
              </c:numCache>
            </c:numRef>
          </c:yVal>
          <c:smooth val="0"/>
        </c:ser>
        <c:ser>
          <c:idx val="50"/>
          <c:order val="50"/>
          <c:tx>
            <c:strRef>
              <c:f>Kubus!$T$31</c:f>
              <c:strCache>
                <c:ptCount val="1"/>
                <c:pt idx="0">
                  <c:v>arceringsbalk 15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Kubus!$Z$31:$Z$32</c:f>
              <c:numCache>
                <c:formatCode>0.00</c:formatCode>
                <c:ptCount val="2"/>
                <c:pt idx="0">
                  <c:v>0.82960159761947305</c:v>
                </c:pt>
                <c:pt idx="1">
                  <c:v>1.1317041932983563</c:v>
                </c:pt>
              </c:numCache>
            </c:numRef>
          </c:xVal>
          <c:yVal>
            <c:numRef>
              <c:f>Kubus!$AA$31:$AA$32</c:f>
              <c:numCache>
                <c:formatCode>0.00</c:formatCode>
                <c:ptCount val="2"/>
                <c:pt idx="0">
                  <c:v>0.62222073331701577</c:v>
                </c:pt>
                <c:pt idx="1">
                  <c:v>0.60261503531408045</c:v>
                </c:pt>
              </c:numCache>
            </c:numRef>
          </c:yVal>
          <c:smooth val="0"/>
        </c:ser>
        <c:ser>
          <c:idx val="51"/>
          <c:order val="51"/>
          <c:tx>
            <c:strRef>
              <c:f>Kubus!$T$33</c:f>
              <c:strCache>
                <c:ptCount val="1"/>
                <c:pt idx="0">
                  <c:v>arceringsbalk 16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Kubus!$Z$33:$Z$34</c:f>
              <c:numCache>
                <c:formatCode>0.00</c:formatCode>
                <c:ptCount val="2"/>
                <c:pt idx="0">
                  <c:v>0.88595069918489955</c:v>
                </c:pt>
                <c:pt idx="1">
                  <c:v>1.1880532948637827</c:v>
                </c:pt>
              </c:numCache>
            </c:numRef>
          </c:xVal>
          <c:yVal>
            <c:numRef>
              <c:f>Kubus!$AA$33:$AA$34</c:f>
              <c:numCache>
                <c:formatCode>0.00</c:formatCode>
                <c:ptCount val="2"/>
                <c:pt idx="0">
                  <c:v>0.63903855533650189</c:v>
                </c:pt>
                <c:pt idx="1">
                  <c:v>0.61943285733356657</c:v>
                </c:pt>
              </c:numCache>
            </c:numRef>
          </c:yVal>
          <c:smooth val="0"/>
        </c:ser>
        <c:ser>
          <c:idx val="52"/>
          <c:order val="52"/>
          <c:tx>
            <c:strRef>
              <c:f>Kubus!$T$35</c:f>
              <c:strCache>
                <c:ptCount val="1"/>
                <c:pt idx="0">
                  <c:v>arceringsbalk 17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Kubus!$Z$35:$Z$36</c:f>
              <c:numCache>
                <c:formatCode>0.00</c:formatCode>
                <c:ptCount val="2"/>
                <c:pt idx="0">
                  <c:v>0.94229980075032627</c:v>
                </c:pt>
                <c:pt idx="1">
                  <c:v>1.2444023964292095</c:v>
                </c:pt>
              </c:numCache>
            </c:numRef>
          </c:xVal>
          <c:yVal>
            <c:numRef>
              <c:f>Kubus!$AA$35:$AA$36</c:f>
              <c:numCache>
                <c:formatCode>0.00</c:formatCode>
                <c:ptCount val="2"/>
                <c:pt idx="0">
                  <c:v>0.65585637735598779</c:v>
                </c:pt>
                <c:pt idx="1">
                  <c:v>0.63625067935305257</c:v>
                </c:pt>
              </c:numCache>
            </c:numRef>
          </c:yVal>
          <c:smooth val="0"/>
        </c:ser>
        <c:ser>
          <c:idx val="53"/>
          <c:order val="53"/>
          <c:tx>
            <c:strRef>
              <c:f>Kubus!$T$37</c:f>
              <c:strCache>
                <c:ptCount val="1"/>
                <c:pt idx="0">
                  <c:v>arceringsbalk 18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Kubus!$Z$37:$Z$38</c:f>
              <c:numCache>
                <c:formatCode>0.00</c:formatCode>
                <c:ptCount val="2"/>
                <c:pt idx="0">
                  <c:v>0.99864890231575276</c:v>
                </c:pt>
                <c:pt idx="1">
                  <c:v>1.3007514979946362</c:v>
                </c:pt>
              </c:numCache>
            </c:numRef>
          </c:xVal>
          <c:yVal>
            <c:numRef>
              <c:f>Kubus!$AA$37:$AA$38</c:f>
              <c:numCache>
                <c:formatCode>0.00</c:formatCode>
                <c:ptCount val="2"/>
                <c:pt idx="0">
                  <c:v>0.6726741993754739</c:v>
                </c:pt>
                <c:pt idx="1">
                  <c:v>0.65306850137253858</c:v>
                </c:pt>
              </c:numCache>
            </c:numRef>
          </c:yVal>
          <c:smooth val="0"/>
        </c:ser>
        <c:ser>
          <c:idx val="54"/>
          <c:order val="54"/>
          <c:tx>
            <c:strRef>
              <c:f>Kubus!$T$39</c:f>
              <c:strCache>
                <c:ptCount val="1"/>
                <c:pt idx="0">
                  <c:v>arceringsbalk 19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Kubus!$Z$39:$Z$40</c:f>
              <c:numCache>
                <c:formatCode>0.00</c:formatCode>
                <c:ptCount val="2"/>
                <c:pt idx="0">
                  <c:v>1.0549980038811793</c:v>
                </c:pt>
                <c:pt idx="1">
                  <c:v>1.3571005995600627</c:v>
                </c:pt>
              </c:numCache>
            </c:numRef>
          </c:xVal>
          <c:yVal>
            <c:numRef>
              <c:f>Kubus!$AA$39:$AA$40</c:f>
              <c:numCache>
                <c:formatCode>0.00</c:formatCode>
                <c:ptCount val="2"/>
                <c:pt idx="0">
                  <c:v>0.6894920213949598</c:v>
                </c:pt>
                <c:pt idx="1">
                  <c:v>0.66988632339202459</c:v>
                </c:pt>
              </c:numCache>
            </c:numRef>
          </c:yVal>
          <c:smooth val="0"/>
        </c:ser>
        <c:ser>
          <c:idx val="55"/>
          <c:order val="55"/>
          <c:tx>
            <c:strRef>
              <c:f>Kubus!$T$41</c:f>
              <c:strCache>
                <c:ptCount val="1"/>
                <c:pt idx="0">
                  <c:v>arceringsbalk 20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Kubus!$Z$41:$Z$42</c:f>
              <c:numCache>
                <c:formatCode>0.00</c:formatCode>
                <c:ptCount val="2"/>
                <c:pt idx="0">
                  <c:v>1.111347105446606</c:v>
                </c:pt>
                <c:pt idx="1">
                  <c:v>1.4134497011254892</c:v>
                </c:pt>
              </c:numCache>
            </c:numRef>
          </c:xVal>
          <c:yVal>
            <c:numRef>
              <c:f>Kubus!$AA$41:$AA$42</c:f>
              <c:numCache>
                <c:formatCode>0.00</c:formatCode>
                <c:ptCount val="2"/>
                <c:pt idx="0">
                  <c:v>0.70630984341444591</c:v>
                </c:pt>
                <c:pt idx="1">
                  <c:v>0.68670414541151059</c:v>
                </c:pt>
              </c:numCache>
            </c:numRef>
          </c:yVal>
          <c:smooth val="0"/>
        </c:ser>
        <c:ser>
          <c:idx val="56"/>
          <c:order val="56"/>
          <c:tx>
            <c:strRef>
              <c:f>Kubus!$T$43</c:f>
              <c:strCache>
                <c:ptCount val="1"/>
                <c:pt idx="0">
                  <c:v>arceringsbalk 21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Kubus!$Z$43:$Z$44</c:f>
              <c:numCache>
                <c:formatCode>0.00</c:formatCode>
                <c:ptCount val="2"/>
                <c:pt idx="0">
                  <c:v>0.60420519135776662</c:v>
                </c:pt>
                <c:pt idx="1">
                  <c:v>0.60420519135776662</c:v>
                </c:pt>
              </c:numCache>
            </c:numRef>
          </c:xVal>
          <c:yVal>
            <c:numRef>
              <c:f>Kubus!$AA$43:$AA$44</c:f>
              <c:numCache>
                <c:formatCode>0.00</c:formatCode>
                <c:ptCount val="2"/>
                <c:pt idx="0">
                  <c:v>0.25786902461660061</c:v>
                </c:pt>
                <c:pt idx="1">
                  <c:v>0.55494944523907175</c:v>
                </c:pt>
              </c:numCache>
            </c:numRef>
          </c:yVal>
          <c:smooth val="0"/>
        </c:ser>
        <c:ser>
          <c:idx val="57"/>
          <c:order val="57"/>
          <c:tx>
            <c:strRef>
              <c:f>Kubus!$T$45</c:f>
              <c:strCache>
                <c:ptCount val="1"/>
                <c:pt idx="0">
                  <c:v>arceringsbalk 22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Kubus!$Z$45:$Z$46</c:f>
              <c:numCache>
                <c:formatCode>0.00</c:formatCode>
                <c:ptCount val="2"/>
                <c:pt idx="0">
                  <c:v>0.63777214643319813</c:v>
                </c:pt>
                <c:pt idx="1">
                  <c:v>0.63777214643319813</c:v>
                </c:pt>
              </c:numCache>
            </c:numRef>
          </c:xVal>
          <c:yVal>
            <c:numRef>
              <c:f>Kubus!$AA$45:$AA$46</c:f>
              <c:numCache>
                <c:formatCode>0.00</c:formatCode>
                <c:ptCount val="2"/>
                <c:pt idx="0">
                  <c:v>0.25569061372738555</c:v>
                </c:pt>
                <c:pt idx="1">
                  <c:v>0.55277103434985664</c:v>
                </c:pt>
              </c:numCache>
            </c:numRef>
          </c:yVal>
          <c:smooth val="0"/>
        </c:ser>
        <c:ser>
          <c:idx val="58"/>
          <c:order val="58"/>
          <c:tx>
            <c:strRef>
              <c:f>Kubus!$T$47</c:f>
              <c:strCache>
                <c:ptCount val="1"/>
                <c:pt idx="0">
                  <c:v>arceringsbalk 23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Kubus!$Z$47:$Z$48</c:f>
              <c:numCache>
                <c:formatCode>0.00</c:formatCode>
                <c:ptCount val="2"/>
                <c:pt idx="0">
                  <c:v>0.67133910150862952</c:v>
                </c:pt>
                <c:pt idx="1">
                  <c:v>0.67133910150862952</c:v>
                </c:pt>
              </c:numCache>
            </c:numRef>
          </c:xVal>
          <c:yVal>
            <c:numRef>
              <c:f>Kubus!$AA$47:$AA$48</c:f>
              <c:numCache>
                <c:formatCode>0.00</c:formatCode>
                <c:ptCount val="2"/>
                <c:pt idx="0">
                  <c:v>0.25351220283817055</c:v>
                </c:pt>
                <c:pt idx="1">
                  <c:v>0.55059262346064164</c:v>
                </c:pt>
              </c:numCache>
            </c:numRef>
          </c:yVal>
          <c:smooth val="0"/>
        </c:ser>
        <c:ser>
          <c:idx val="59"/>
          <c:order val="59"/>
          <c:tx>
            <c:strRef>
              <c:f>Kubus!$T$49</c:f>
              <c:strCache>
                <c:ptCount val="1"/>
                <c:pt idx="0">
                  <c:v>arceringsbalk 24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Kubus!$Z$49:$Z$50</c:f>
              <c:numCache>
                <c:formatCode>0.00</c:formatCode>
                <c:ptCount val="2"/>
                <c:pt idx="0">
                  <c:v>0.70490605658406102</c:v>
                </c:pt>
                <c:pt idx="1">
                  <c:v>0.70490605658406102</c:v>
                </c:pt>
              </c:numCache>
            </c:numRef>
          </c:xVal>
          <c:yVal>
            <c:numRef>
              <c:f>Kubus!$AA$49:$AA$50</c:f>
              <c:numCache>
                <c:formatCode>0.00</c:formatCode>
                <c:ptCount val="2"/>
                <c:pt idx="0">
                  <c:v>0.25133379194895555</c:v>
                </c:pt>
                <c:pt idx="1">
                  <c:v>0.54841421257142664</c:v>
                </c:pt>
              </c:numCache>
            </c:numRef>
          </c:yVal>
          <c:smooth val="0"/>
        </c:ser>
        <c:ser>
          <c:idx val="60"/>
          <c:order val="60"/>
          <c:tx>
            <c:strRef>
              <c:f>Kubus!$T$51</c:f>
              <c:strCache>
                <c:ptCount val="1"/>
                <c:pt idx="0">
                  <c:v>arceringsbalk 25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Kubus!$Z$51:$Z$52</c:f>
              <c:numCache>
                <c:formatCode>0.00</c:formatCode>
                <c:ptCount val="2"/>
                <c:pt idx="0">
                  <c:v>0.73847301165949253</c:v>
                </c:pt>
                <c:pt idx="1">
                  <c:v>0.73847301165949253</c:v>
                </c:pt>
              </c:numCache>
            </c:numRef>
          </c:xVal>
          <c:yVal>
            <c:numRef>
              <c:f>Kubus!$AA$51:$AA$52</c:f>
              <c:numCache>
                <c:formatCode>0.00</c:formatCode>
                <c:ptCount val="2"/>
                <c:pt idx="0">
                  <c:v>0.2491553810597405</c:v>
                </c:pt>
                <c:pt idx="1">
                  <c:v>0.54623580168221153</c:v>
                </c:pt>
              </c:numCache>
            </c:numRef>
          </c:yVal>
          <c:smooth val="0"/>
        </c:ser>
        <c:ser>
          <c:idx val="61"/>
          <c:order val="61"/>
          <c:tx>
            <c:strRef>
              <c:f>Kubus!$T$53</c:f>
              <c:strCache>
                <c:ptCount val="1"/>
                <c:pt idx="0">
                  <c:v>arceringsbalk 26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Kubus!$Z$53:$Z$54</c:f>
              <c:numCache>
                <c:formatCode>0.00</c:formatCode>
                <c:ptCount val="2"/>
                <c:pt idx="0">
                  <c:v>0.77203996673492403</c:v>
                </c:pt>
                <c:pt idx="1">
                  <c:v>0.77203996673492403</c:v>
                </c:pt>
              </c:numCache>
            </c:numRef>
          </c:xVal>
          <c:yVal>
            <c:numRef>
              <c:f>Kubus!$AA$53:$AA$54</c:f>
              <c:numCache>
                <c:formatCode>0.00</c:formatCode>
                <c:ptCount val="2"/>
                <c:pt idx="0">
                  <c:v>0.24697697017052547</c:v>
                </c:pt>
                <c:pt idx="1">
                  <c:v>0.54405739079299653</c:v>
                </c:pt>
              </c:numCache>
            </c:numRef>
          </c:yVal>
          <c:smooth val="0"/>
        </c:ser>
        <c:ser>
          <c:idx val="62"/>
          <c:order val="62"/>
          <c:tx>
            <c:strRef>
              <c:f>Kubus!$T$55</c:f>
              <c:strCache>
                <c:ptCount val="1"/>
                <c:pt idx="0">
                  <c:v>arceringsbalk 27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Kubus!$Z$55:$Z$56</c:f>
              <c:numCache>
                <c:formatCode>0.00</c:formatCode>
                <c:ptCount val="2"/>
                <c:pt idx="0">
                  <c:v>0.80560692181035543</c:v>
                </c:pt>
                <c:pt idx="1">
                  <c:v>0.80560692181035543</c:v>
                </c:pt>
              </c:numCache>
            </c:numRef>
          </c:xVal>
          <c:yVal>
            <c:numRef>
              <c:f>Kubus!$AA$55:$AA$56</c:f>
              <c:numCache>
                <c:formatCode>0.00</c:formatCode>
                <c:ptCount val="2"/>
                <c:pt idx="0">
                  <c:v>0.24479855928131045</c:v>
                </c:pt>
                <c:pt idx="1">
                  <c:v>0.54187897990378153</c:v>
                </c:pt>
              </c:numCache>
            </c:numRef>
          </c:yVal>
          <c:smooth val="0"/>
        </c:ser>
        <c:ser>
          <c:idx val="63"/>
          <c:order val="63"/>
          <c:tx>
            <c:strRef>
              <c:f>Kubus!$T$57</c:f>
              <c:strCache>
                <c:ptCount val="1"/>
                <c:pt idx="0">
                  <c:v>arceringsbalk 28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Kubus!$Z$57:$Z$58</c:f>
              <c:numCache>
                <c:formatCode>0.00</c:formatCode>
                <c:ptCount val="2"/>
                <c:pt idx="0">
                  <c:v>0.83917387688578693</c:v>
                </c:pt>
                <c:pt idx="1">
                  <c:v>0.83917387688578693</c:v>
                </c:pt>
              </c:numCache>
            </c:numRef>
          </c:xVal>
          <c:yVal>
            <c:numRef>
              <c:f>Kubus!$AA$57:$AA$58</c:f>
              <c:numCache>
                <c:formatCode>0.00</c:formatCode>
                <c:ptCount val="2"/>
                <c:pt idx="0">
                  <c:v>0.24262014839209542</c:v>
                </c:pt>
                <c:pt idx="1">
                  <c:v>0.53970056901456653</c:v>
                </c:pt>
              </c:numCache>
            </c:numRef>
          </c:yVal>
          <c:smooth val="0"/>
        </c:ser>
        <c:ser>
          <c:idx val="64"/>
          <c:order val="64"/>
          <c:tx>
            <c:strRef>
              <c:f>Kubus!$T$59</c:f>
              <c:strCache>
                <c:ptCount val="1"/>
                <c:pt idx="0">
                  <c:v>arceringsbalk 29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Kubus!$Z$59:$Z$60</c:f>
              <c:numCache>
                <c:formatCode>0.00</c:formatCode>
                <c:ptCount val="2"/>
                <c:pt idx="0">
                  <c:v>0.87274083196121843</c:v>
                </c:pt>
                <c:pt idx="1">
                  <c:v>0.87274083196121843</c:v>
                </c:pt>
              </c:numCache>
            </c:numRef>
          </c:xVal>
          <c:yVal>
            <c:numRef>
              <c:f>Kubus!$AA$59:$AA$60</c:f>
              <c:numCache>
                <c:formatCode>0.00</c:formatCode>
                <c:ptCount val="2"/>
                <c:pt idx="0">
                  <c:v>0.24044173750288039</c:v>
                </c:pt>
                <c:pt idx="1">
                  <c:v>0.53752215812535142</c:v>
                </c:pt>
              </c:numCache>
            </c:numRef>
          </c:yVal>
          <c:smooth val="0"/>
        </c:ser>
        <c:ser>
          <c:idx val="65"/>
          <c:order val="65"/>
          <c:tx>
            <c:strRef>
              <c:f>Kubus!$T$61</c:f>
              <c:strCache>
                <c:ptCount val="1"/>
                <c:pt idx="0">
                  <c:v>arceringsbalk 30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Kubus!$Z$61:$Z$62</c:f>
              <c:numCache>
                <c:formatCode>0.00</c:formatCode>
                <c:ptCount val="2"/>
                <c:pt idx="0">
                  <c:v>0.90630778703664994</c:v>
                </c:pt>
                <c:pt idx="1">
                  <c:v>0.90630778703664994</c:v>
                </c:pt>
              </c:numCache>
            </c:numRef>
          </c:xVal>
          <c:yVal>
            <c:numRef>
              <c:f>Kubus!$AA$61:$AA$62</c:f>
              <c:numCache>
                <c:formatCode>0.00</c:formatCode>
                <c:ptCount val="2"/>
                <c:pt idx="0">
                  <c:v>0.23826332661366537</c:v>
                </c:pt>
                <c:pt idx="1">
                  <c:v>0.53534374723613642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717456"/>
        <c:axId val="305718240"/>
      </c:scatterChart>
      <c:valAx>
        <c:axId val="305717456"/>
        <c:scaling>
          <c:orientation val="minMax"/>
          <c:max val="1.9"/>
          <c:min val="-0.4"/>
        </c:scaling>
        <c:delete val="1"/>
        <c:axPos val="b"/>
        <c:numFmt formatCode="0.00" sourceLinked="1"/>
        <c:majorTickMark val="out"/>
        <c:minorTickMark val="none"/>
        <c:tickLblPos val="nextTo"/>
        <c:crossAx val="305718240"/>
        <c:crosses val="autoZero"/>
        <c:crossBetween val="midCat"/>
      </c:valAx>
      <c:valAx>
        <c:axId val="305718240"/>
        <c:scaling>
          <c:orientation val="minMax"/>
          <c:max val="1.3"/>
          <c:min val="-0.4"/>
        </c:scaling>
        <c:delete val="1"/>
        <c:axPos val="l"/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WHO BEARS THE EXP.</a:t>
                </a:r>
              </a:p>
            </c:rich>
          </c:tx>
          <c:layout>
            <c:manualLayout>
              <c:xMode val="edge"/>
              <c:yMode val="edge"/>
              <c:x val="1.8487410129505423E-2"/>
              <c:y val="0.3351357248305968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crossAx val="30571745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6</xdr:row>
      <xdr:rowOff>47625</xdr:rowOff>
    </xdr:from>
    <xdr:to>
      <xdr:col>0</xdr:col>
      <xdr:colOff>5705475</xdr:colOff>
      <xdr:row>38</xdr:row>
      <xdr:rowOff>152400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3</xdr:row>
          <xdr:rowOff>0</xdr:rowOff>
        </xdr:from>
        <xdr:to>
          <xdr:col>0</xdr:col>
          <xdr:colOff>1905000</xdr:colOff>
          <xdr:row>5</xdr:row>
          <xdr:rowOff>9525</xdr:rowOff>
        </xdr:to>
        <xdr:sp macro="" textlink="">
          <xdr:nvSpPr>
            <xdr:cNvPr id="1030" name="ScrollBar1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2009775</xdr:colOff>
          <xdr:row>2</xdr:row>
          <xdr:rowOff>152400</xdr:rowOff>
        </xdr:from>
        <xdr:to>
          <xdr:col>0</xdr:col>
          <xdr:colOff>3667125</xdr:colOff>
          <xdr:row>5</xdr:row>
          <xdr:rowOff>19050</xdr:rowOff>
        </xdr:to>
        <xdr:sp macro="" textlink="">
          <xdr:nvSpPr>
            <xdr:cNvPr id="1031" name="ScrollBar2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3762375</xdr:colOff>
          <xdr:row>2</xdr:row>
          <xdr:rowOff>133350</xdr:rowOff>
        </xdr:from>
        <xdr:to>
          <xdr:col>0</xdr:col>
          <xdr:colOff>5419725</xdr:colOff>
          <xdr:row>5</xdr:row>
          <xdr:rowOff>9525</xdr:rowOff>
        </xdr:to>
        <xdr:sp macro="" textlink="">
          <xdr:nvSpPr>
            <xdr:cNvPr id="1032" name="ScrollBar3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O121"/>
  <sheetViews>
    <sheetView tabSelected="1" workbookViewId="0"/>
  </sheetViews>
  <sheetFormatPr defaultRowHeight="12.75" x14ac:dyDescent="0.2"/>
  <cols>
    <col min="1" max="1" width="89.85546875" style="7" customWidth="1"/>
    <col min="2" max="2" width="5.5703125" style="7" bestFit="1" customWidth="1"/>
    <col min="3" max="3" width="4.28515625" style="7" bestFit="1" customWidth="1"/>
    <col min="4" max="6" width="5.28515625" style="7" customWidth="1"/>
    <col min="7" max="7" width="2.85546875" style="7" customWidth="1"/>
    <col min="8" max="9" width="5.28515625" style="7" customWidth="1"/>
    <col min="10" max="10" width="5.5703125" style="7" customWidth="1"/>
    <col min="11" max="11" width="5.85546875" style="7" bestFit="1" customWidth="1"/>
    <col min="12" max="12" width="4.28515625" style="7" bestFit="1" customWidth="1"/>
    <col min="13" max="14" width="4.5703125" style="7" bestFit="1" customWidth="1"/>
    <col min="15" max="16" width="4.5703125" style="7" customWidth="1"/>
    <col min="17" max="18" width="4.5703125" style="1" bestFit="1" customWidth="1"/>
    <col min="19" max="19" width="5.140625" style="1" customWidth="1"/>
    <col min="20" max="20" width="14.7109375" style="7" bestFit="1" customWidth="1"/>
    <col min="21" max="21" width="4.28515625" style="7" bestFit="1" customWidth="1"/>
    <col min="22" max="22" width="5.5703125" style="7" bestFit="1" customWidth="1"/>
    <col min="23" max="24" width="5.140625" style="7" bestFit="1" customWidth="1"/>
    <col min="25" max="25" width="3.28515625" style="7" customWidth="1"/>
    <col min="26" max="27" width="5.140625" style="1" bestFit="1" customWidth="1"/>
    <col min="28" max="28" width="5.28515625" style="7" customWidth="1"/>
    <col min="29" max="29" width="21.85546875" style="7" bestFit="1" customWidth="1"/>
    <col min="30" max="30" width="3.28515625" style="7" customWidth="1"/>
    <col min="31" max="31" width="4.5703125" style="7" bestFit="1" customWidth="1"/>
    <col min="32" max="33" width="5.140625" style="7" bestFit="1" customWidth="1"/>
    <col min="34" max="34" width="3.28515625" style="7" customWidth="1"/>
    <col min="35" max="36" width="5.140625" style="1" bestFit="1" customWidth="1"/>
    <col min="37" max="40" width="9.140625" style="7"/>
    <col min="41" max="41" width="8.5703125" style="7" bestFit="1" customWidth="1"/>
    <col min="42" max="16384" width="9.140625" style="7"/>
  </cols>
  <sheetData>
    <row r="1" spans="1:41" x14ac:dyDescent="0.2">
      <c r="A1" s="17"/>
      <c r="D1" s="1">
        <v>1.2</v>
      </c>
      <c r="E1" s="1">
        <v>0.9</v>
      </c>
      <c r="F1" s="1">
        <v>1</v>
      </c>
      <c r="M1" s="1">
        <v>1.2</v>
      </c>
      <c r="N1" s="1">
        <v>0.9</v>
      </c>
      <c r="O1" s="1">
        <v>1</v>
      </c>
      <c r="V1" s="1">
        <v>1.2</v>
      </c>
      <c r="W1" s="1">
        <v>0.9</v>
      </c>
      <c r="X1" s="1">
        <v>1</v>
      </c>
      <c r="AE1" s="1">
        <v>1.2</v>
      </c>
      <c r="AF1" s="1">
        <v>0.9</v>
      </c>
      <c r="AG1" s="1">
        <v>1</v>
      </c>
    </row>
    <row r="2" spans="1:41" x14ac:dyDescent="0.2">
      <c r="A2" s="16" t="s">
        <v>101</v>
      </c>
      <c r="B2" s="6" t="s">
        <v>49</v>
      </c>
      <c r="C2" s="8"/>
      <c r="D2" s="11" t="s">
        <v>0</v>
      </c>
      <c r="E2" s="11" t="s">
        <v>1</v>
      </c>
      <c r="F2" s="11" t="s">
        <v>2</v>
      </c>
      <c r="G2" s="1"/>
      <c r="J2" s="4"/>
      <c r="K2" s="8" t="s">
        <v>9</v>
      </c>
      <c r="L2" s="8"/>
      <c r="M2" s="11" t="s">
        <v>0</v>
      </c>
      <c r="N2" s="11" t="s">
        <v>1</v>
      </c>
      <c r="O2" s="11" t="s">
        <v>2</v>
      </c>
      <c r="P2" s="1"/>
      <c r="T2" s="8" t="s">
        <v>62</v>
      </c>
      <c r="U2" s="8"/>
      <c r="V2" s="11" t="s">
        <v>0</v>
      </c>
      <c r="W2" s="11" t="s">
        <v>1</v>
      </c>
      <c r="X2" s="11" t="s">
        <v>2</v>
      </c>
      <c r="Y2" s="1"/>
      <c r="AC2" s="8" t="s">
        <v>34</v>
      </c>
      <c r="AD2" s="8"/>
      <c r="AE2" s="11" t="s">
        <v>0</v>
      </c>
      <c r="AF2" s="11" t="s">
        <v>1</v>
      </c>
      <c r="AG2" s="11" t="s">
        <v>2</v>
      </c>
      <c r="AH2" s="1"/>
    </row>
    <row r="3" spans="1:41" x14ac:dyDescent="0.2">
      <c r="A3" s="27"/>
      <c r="B3" s="7" t="s">
        <v>50</v>
      </c>
      <c r="C3" s="12" t="s">
        <v>10</v>
      </c>
      <c r="D3" s="4">
        <v>0</v>
      </c>
      <c r="E3" s="4">
        <v>0</v>
      </c>
      <c r="F3" s="4">
        <v>0</v>
      </c>
      <c r="H3" s="4">
        <f>(D3*RMX_1)+(E3*RMY_1)+(F3*RMZ_1)</f>
        <v>0</v>
      </c>
      <c r="I3" s="4">
        <f>(D3*RMX_2)+(E3*RMY_2)+(F3*RMZ_2)</f>
        <v>0</v>
      </c>
      <c r="J3" s="4"/>
      <c r="K3" s="7" t="s">
        <v>11</v>
      </c>
      <c r="L3" s="12" t="s">
        <v>10</v>
      </c>
      <c r="M3" s="3">
        <v>0</v>
      </c>
      <c r="N3" s="1">
        <f>(2/3)*0.9</f>
        <v>0.6</v>
      </c>
      <c r="O3" s="3">
        <v>0</v>
      </c>
      <c r="P3" s="3"/>
      <c r="Q3" s="2">
        <f>(M3*RMX_1)+(N3*RMY_1)+(O3*RMZ_1)</f>
        <v>0</v>
      </c>
      <c r="R3" s="2">
        <f>(M3*RMX_2)+(N3*RMY_2)+(O3*RMZ_2)</f>
        <v>0.59416084124494217</v>
      </c>
      <c r="S3" s="2"/>
      <c r="T3" s="7" t="s">
        <v>64</v>
      </c>
      <c r="U3" s="12" t="s">
        <v>10</v>
      </c>
      <c r="V3" s="3">
        <v>0</v>
      </c>
      <c r="W3" s="3">
        <f>0.3+0.3/9*0</f>
        <v>0.3</v>
      </c>
      <c r="X3" s="3">
        <v>1</v>
      </c>
      <c r="Y3" s="3"/>
      <c r="Z3" s="2">
        <f t="shared" ref="Z3:Z34" si="0">(V3*RMX_1)+(W3*RMY_1)+(X3*RMZ_1)</f>
        <v>0.90630778703664994</v>
      </c>
      <c r="AA3" s="2">
        <f t="shared" ref="AA3:AA34" si="1">(V3*RMX_2)+(W3*RMY_2)+(X3*RMZ_2)</f>
        <v>0.23826332661366537</v>
      </c>
      <c r="AB3" s="13"/>
      <c r="AC3" s="7" t="s">
        <v>35</v>
      </c>
      <c r="AD3" s="12"/>
      <c r="AE3" s="3">
        <v>0</v>
      </c>
      <c r="AF3" s="3">
        <v>0</v>
      </c>
      <c r="AG3" s="3">
        <v>-0.3</v>
      </c>
      <c r="AH3" s="3"/>
      <c r="AI3" s="2">
        <f>(AE3*RMX_1)+(AF3*RMY_1)+(AG3*RMZ_1)</f>
        <v>-0.27189233611099495</v>
      </c>
      <c r="AJ3" s="2">
        <f>(AE3*RMX_2)+(AF3*RMY_2)+(AG3*RMZ_2)</f>
        <v>1.7645128202641719E-2</v>
      </c>
      <c r="AL3" s="8" t="s">
        <v>96</v>
      </c>
    </row>
    <row r="4" spans="1:41" x14ac:dyDescent="0.2">
      <c r="C4" s="12" t="s">
        <v>41</v>
      </c>
      <c r="D4" s="4">
        <v>0</v>
      </c>
      <c r="E4" s="4">
        <v>0</v>
      </c>
      <c r="F4" s="4">
        <v>1</v>
      </c>
      <c r="H4" s="4">
        <f>(D4*RMX_1)+(E4*RMY_1)+(F4*RMZ_1)</f>
        <v>0.90630778703664994</v>
      </c>
      <c r="I4" s="4">
        <f>(D4*RMX_2)+(E4*RMY_2)+(F4*RMZ_2)</f>
        <v>-5.8817094008805727E-2</v>
      </c>
      <c r="J4" s="4"/>
      <c r="L4" s="12" t="s">
        <v>41</v>
      </c>
      <c r="M4" s="3">
        <v>0</v>
      </c>
      <c r="N4" s="1">
        <f>(2/3)*0.9</f>
        <v>0.6</v>
      </c>
      <c r="O4" s="3">
        <v>1</v>
      </c>
      <c r="P4" s="3"/>
      <c r="Q4" s="2">
        <f>(M4*RMX_1)+(N4*RMY_1)+(O4*RMZ_1)</f>
        <v>0.90630778703664994</v>
      </c>
      <c r="R4" s="2">
        <f>(M4*RMX_2)+(N4*RMY_2)+(O4*RMZ_2)</f>
        <v>0.53534374723613642</v>
      </c>
      <c r="S4" s="2"/>
      <c r="U4" s="12" t="s">
        <v>41</v>
      </c>
      <c r="V4" s="3">
        <v>1.2</v>
      </c>
      <c r="W4" s="3">
        <f>0.3+0.3/9*0</f>
        <v>0.3</v>
      </c>
      <c r="X4" s="3">
        <v>1</v>
      </c>
      <c r="Y4" s="3"/>
      <c r="Z4" s="2">
        <f t="shared" si="0"/>
        <v>1.4134497011254892</v>
      </c>
      <c r="AA4" s="2">
        <f t="shared" si="1"/>
        <v>0.38962372478903951</v>
      </c>
      <c r="AB4" s="13"/>
      <c r="AD4" s="12"/>
      <c r="AE4" s="3">
        <v>0</v>
      </c>
      <c r="AF4" s="3">
        <v>0.9</v>
      </c>
      <c r="AG4" s="3">
        <v>-0.3</v>
      </c>
      <c r="AH4" s="3"/>
      <c r="AI4" s="2">
        <f>(AE4*RMX_1)+(AF4*RMY_1)+(AG4*RMZ_1)</f>
        <v>-0.27189233611099495</v>
      </c>
      <c r="AJ4" s="2">
        <f>(AE4*RMX_2)+(AF4*RMY_2)+(AG4*RMZ_2)</f>
        <v>0.90888639007005512</v>
      </c>
      <c r="AL4" s="18">
        <f>SIN(RADIANS(XROTATE))</f>
        <v>0.13917310096006544</v>
      </c>
      <c r="AM4" s="19">
        <f>SIN(RADIANS(YROTATE))</f>
        <v>0.90630778703664994</v>
      </c>
      <c r="AN4" s="20">
        <f>SIN(RADIANS(ZROTATE))</f>
        <v>0</v>
      </c>
      <c r="AO4" s="7" t="s">
        <v>94</v>
      </c>
    </row>
    <row r="5" spans="1:41" x14ac:dyDescent="0.2">
      <c r="C5" s="12"/>
      <c r="D5" s="4"/>
      <c r="E5" s="4"/>
      <c r="F5" s="4"/>
      <c r="H5" s="4"/>
      <c r="I5" s="4"/>
      <c r="J5" s="4"/>
      <c r="L5" s="12"/>
      <c r="M5" s="1"/>
      <c r="N5" s="1"/>
      <c r="O5" s="1"/>
      <c r="P5" s="1"/>
      <c r="Q5" s="2"/>
      <c r="R5" s="2"/>
      <c r="S5" s="2"/>
      <c r="T5" s="7" t="s">
        <v>65</v>
      </c>
      <c r="U5" s="12" t="s">
        <v>10</v>
      </c>
      <c r="V5" s="3">
        <v>0</v>
      </c>
      <c r="W5" s="3">
        <f>0.3+0.3/9*1</f>
        <v>0.33333333333333331</v>
      </c>
      <c r="X5" s="3">
        <v>1</v>
      </c>
      <c r="Y5" s="3"/>
      <c r="Z5" s="2">
        <f t="shared" si="0"/>
        <v>0.90630778703664994</v>
      </c>
      <c r="AA5" s="2">
        <f t="shared" si="1"/>
        <v>0.27127226223838435</v>
      </c>
      <c r="AB5" s="13"/>
      <c r="AD5" s="12"/>
      <c r="AE5" s="1"/>
      <c r="AF5" s="1"/>
      <c r="AG5" s="1"/>
      <c r="AH5" s="1"/>
      <c r="AI5" s="2"/>
      <c r="AJ5" s="2"/>
      <c r="AL5" s="21">
        <f>COS(RADIANS(XROTATE))</f>
        <v>0.99026806874157036</v>
      </c>
      <c r="AM5" s="22">
        <f>COS(RADIANS(YROTATE))</f>
        <v>0.42261826174069944</v>
      </c>
      <c r="AN5" s="23">
        <f>COS(RADIANS(ZROTATE))</f>
        <v>1</v>
      </c>
      <c r="AO5" s="7" t="s">
        <v>95</v>
      </c>
    </row>
    <row r="6" spans="1:41" x14ac:dyDescent="0.2">
      <c r="B6" s="7" t="s">
        <v>51</v>
      </c>
      <c r="C6" s="12" t="s">
        <v>10</v>
      </c>
      <c r="D6" s="5">
        <v>0</v>
      </c>
      <c r="E6" s="5">
        <v>0</v>
      </c>
      <c r="F6" s="4">
        <v>1</v>
      </c>
      <c r="H6" s="4">
        <f>(D6*RMX_1)+(E6*RMY_1)+(F6*RMZ_1)</f>
        <v>0.90630778703664994</v>
      </c>
      <c r="I6" s="4">
        <f>(D6*RMX_2)+(E6*RMY_2)+(F6*RMZ_2)</f>
        <v>-5.8817094008805727E-2</v>
      </c>
      <c r="J6" s="4"/>
      <c r="K6" s="7" t="s">
        <v>12</v>
      </c>
      <c r="L6" s="12" t="s">
        <v>10</v>
      </c>
      <c r="M6" s="3">
        <v>0</v>
      </c>
      <c r="N6" s="1">
        <f>(1/3)*0.9</f>
        <v>0.3</v>
      </c>
      <c r="O6" s="3">
        <v>0</v>
      </c>
      <c r="P6" s="3"/>
      <c r="Q6" s="2">
        <f>(M6*RMX_1)+(N6*RMY_1)+(O6*RMZ_1)</f>
        <v>0</v>
      </c>
      <c r="R6" s="2">
        <f>(M6*RMX_2)+(N6*RMY_2)+(O6*RMZ_2)</f>
        <v>0.29708042062247109</v>
      </c>
      <c r="S6" s="2"/>
      <c r="U6" s="12" t="s">
        <v>41</v>
      </c>
      <c r="V6" s="3">
        <v>1.2</v>
      </c>
      <c r="W6" s="3">
        <f>0.3+0.3/9*1</f>
        <v>0.33333333333333331</v>
      </c>
      <c r="X6" s="3">
        <v>1</v>
      </c>
      <c r="Y6" s="3"/>
      <c r="Z6" s="2">
        <f t="shared" si="0"/>
        <v>1.4134497011254892</v>
      </c>
      <c r="AA6" s="2">
        <f t="shared" si="1"/>
        <v>0.42263266041375858</v>
      </c>
      <c r="AB6" s="13"/>
      <c r="AC6" s="7" t="s">
        <v>36</v>
      </c>
      <c r="AD6" s="12"/>
      <c r="AE6" s="3">
        <v>0</v>
      </c>
      <c r="AF6" s="3">
        <f>-0.2*0.9</f>
        <v>-0.18000000000000002</v>
      </c>
      <c r="AG6" s="3">
        <v>0</v>
      </c>
      <c r="AH6" s="3"/>
      <c r="AI6" s="2">
        <f>(AE6*RMX_1)+(AF6*RMY_1)+(AG6*RMZ_1)</f>
        <v>0</v>
      </c>
      <c r="AJ6" s="2">
        <f>(AE6*RMX_2)+(AF6*RMY_2)+(AG6*RMZ_2)</f>
        <v>-0.17824825237348269</v>
      </c>
    </row>
    <row r="7" spans="1:41" x14ac:dyDescent="0.2">
      <c r="C7" s="12" t="s">
        <v>41</v>
      </c>
      <c r="D7" s="5">
        <v>1.2</v>
      </c>
      <c r="E7" s="5">
        <v>0</v>
      </c>
      <c r="F7" s="4">
        <v>1</v>
      </c>
      <c r="H7" s="4">
        <f>(D7*RMX_1)+(E7*RMY_1)+(F7*RMZ_1)</f>
        <v>1.4134497011254892</v>
      </c>
      <c r="I7" s="4">
        <f>(D7*RMX_2)+(E7*RMY_2)+(F7*RMZ_2)</f>
        <v>9.2543304166568474E-2</v>
      </c>
      <c r="J7" s="4"/>
      <c r="L7" s="12" t="s">
        <v>41</v>
      </c>
      <c r="M7" s="3">
        <v>0</v>
      </c>
      <c r="N7" s="1">
        <f>(1/3)*0.9</f>
        <v>0.3</v>
      </c>
      <c r="O7" s="3">
        <v>1</v>
      </c>
      <c r="P7" s="3"/>
      <c r="Q7" s="2">
        <f>(M7*RMX_1)+(N7*RMY_1)+(O7*RMZ_1)</f>
        <v>0.90630778703664994</v>
      </c>
      <c r="R7" s="2">
        <f>(M7*RMX_2)+(N7*RMY_2)+(O7*RMZ_2)</f>
        <v>0.23826332661366537</v>
      </c>
      <c r="S7" s="2"/>
      <c r="T7" s="7" t="s">
        <v>66</v>
      </c>
      <c r="U7" s="12" t="s">
        <v>10</v>
      </c>
      <c r="V7" s="3">
        <v>0</v>
      </c>
      <c r="W7" s="3">
        <f>0.3+0.3/9*2</f>
        <v>0.36666666666666664</v>
      </c>
      <c r="X7" s="3">
        <v>1</v>
      </c>
      <c r="Y7" s="3"/>
      <c r="Z7" s="2">
        <f t="shared" si="0"/>
        <v>0.90630778703664994</v>
      </c>
      <c r="AA7" s="2">
        <f t="shared" si="1"/>
        <v>0.30428119786310337</v>
      </c>
      <c r="AB7" s="13"/>
      <c r="AD7" s="12"/>
      <c r="AE7" s="3">
        <v>0</v>
      </c>
      <c r="AF7" s="3">
        <f>-0.2*0.9</f>
        <v>-0.18000000000000002</v>
      </c>
      <c r="AG7" s="3">
        <v>1</v>
      </c>
      <c r="AH7" s="3"/>
      <c r="AI7" s="2">
        <f>(AE7*RMX_1)+(AF7*RMY_1)+(AG7*RMZ_1)</f>
        <v>0.90630778703664994</v>
      </c>
      <c r="AJ7" s="2">
        <f>(AE7*RMX_2)+(AF7*RMY_2)+(AG7*RMZ_2)</f>
        <v>-0.23706534638228841</v>
      </c>
      <c r="AL7" s="8" t="s">
        <v>46</v>
      </c>
    </row>
    <row r="8" spans="1:41" x14ac:dyDescent="0.2">
      <c r="C8" s="12"/>
      <c r="D8" s="5"/>
      <c r="E8" s="5"/>
      <c r="F8" s="4"/>
      <c r="H8" s="4"/>
      <c r="I8" s="4"/>
      <c r="J8" s="4"/>
      <c r="L8" s="12"/>
      <c r="M8" s="1"/>
      <c r="N8" s="1"/>
      <c r="O8" s="1"/>
      <c r="P8" s="1"/>
      <c r="Q8" s="2"/>
      <c r="R8" s="2"/>
      <c r="S8" s="2"/>
      <c r="U8" s="12" t="s">
        <v>41</v>
      </c>
      <c r="V8" s="3">
        <v>1.2</v>
      </c>
      <c r="W8" s="3">
        <f>0.3+0.3/9*2</f>
        <v>0.36666666666666664</v>
      </c>
      <c r="X8" s="3">
        <v>1</v>
      </c>
      <c r="Y8" s="3"/>
      <c r="Z8" s="2">
        <f t="shared" si="0"/>
        <v>1.4134497011254892</v>
      </c>
      <c r="AA8" s="2">
        <f t="shared" si="1"/>
        <v>0.45564159603847754</v>
      </c>
      <c r="AB8" s="13"/>
      <c r="AD8" s="12"/>
      <c r="AE8" s="1"/>
      <c r="AF8" s="1"/>
      <c r="AG8" s="1"/>
      <c r="AH8" s="1"/>
      <c r="AI8" s="2"/>
      <c r="AJ8" s="2"/>
      <c r="AL8" s="18">
        <f>YCOS*ZCOS</f>
        <v>0.42261826174069944</v>
      </c>
      <c r="AM8" s="19">
        <f>-ZSIN * YCOS</f>
        <v>0</v>
      </c>
      <c r="AN8" s="20">
        <f>YSIN</f>
        <v>0.90630778703664994</v>
      </c>
    </row>
    <row r="9" spans="1:41" x14ac:dyDescent="0.2">
      <c r="B9" s="7" t="s">
        <v>52</v>
      </c>
      <c r="C9" s="12" t="s">
        <v>10</v>
      </c>
      <c r="D9" s="5">
        <v>1.2</v>
      </c>
      <c r="E9" s="5">
        <v>0</v>
      </c>
      <c r="F9" s="4">
        <v>0</v>
      </c>
      <c r="H9" s="4">
        <f>(D9*RMX_1)+(E9*RMY_1)+(F9*RMZ_1)</f>
        <v>0.50714191408883935</v>
      </c>
      <c r="I9" s="4">
        <f>(D9*RMX_2)+(E9*RMY_2)+(F9*RMZ_2)</f>
        <v>0.15136039817537419</v>
      </c>
      <c r="J9" s="4"/>
      <c r="K9" s="7" t="s">
        <v>13</v>
      </c>
      <c r="L9" s="12" t="s">
        <v>10</v>
      </c>
      <c r="M9" s="3">
        <v>0</v>
      </c>
      <c r="N9" s="1">
        <f>(1/3)*0.9</f>
        <v>0.3</v>
      </c>
      <c r="O9" s="3">
        <f>2/3</f>
        <v>0.66666666666666663</v>
      </c>
      <c r="P9" s="3"/>
      <c r="Q9" s="2">
        <f>(M9*RMX_1)+(N9*RMY_1)+(O9*RMZ_1)</f>
        <v>0.60420519135776662</v>
      </c>
      <c r="R9" s="2">
        <f>(M9*RMX_2)+(N9*RMY_2)+(O9*RMZ_2)</f>
        <v>0.25786902461660061</v>
      </c>
      <c r="S9" s="2"/>
      <c r="T9" s="7" t="s">
        <v>67</v>
      </c>
      <c r="U9" s="12" t="s">
        <v>10</v>
      </c>
      <c r="V9" s="3">
        <v>0</v>
      </c>
      <c r="W9" s="3">
        <f>0.3+0.3/9*3</f>
        <v>0.4</v>
      </c>
      <c r="X9" s="3">
        <v>1</v>
      </c>
      <c r="Y9" s="3"/>
      <c r="Z9" s="2">
        <f t="shared" si="0"/>
        <v>0.90630778703664994</v>
      </c>
      <c r="AA9" s="2">
        <f t="shared" si="1"/>
        <v>0.33729013348782244</v>
      </c>
      <c r="AB9" s="13"/>
      <c r="AC9" s="7" t="s">
        <v>37</v>
      </c>
      <c r="AD9" s="12"/>
      <c r="AE9" s="3">
        <v>0</v>
      </c>
      <c r="AF9" s="3">
        <v>0</v>
      </c>
      <c r="AG9" s="3">
        <v>1.5</v>
      </c>
      <c r="AH9" s="3"/>
      <c r="AI9" s="2">
        <f>(AE9*RMX_1)+(AF9*RMY_1)+(AG9*RMZ_1)</f>
        <v>1.3594616805549748</v>
      </c>
      <c r="AJ9" s="2">
        <f>(AE9*RMX_2)+(AF9*RMY_2)+(AG9*RMZ_2)</f>
        <v>-8.8225641013208594E-2</v>
      </c>
      <c r="AL9" s="24">
        <f>ZCOS * -YSIN * -XSIN + ZSIN * XCOS</f>
        <v>0.12613366514614516</v>
      </c>
      <c r="AM9" s="25">
        <f>-ZSIN * -YSIN * -XSIN + ZCOS*XCOS</f>
        <v>0.99026806874157036</v>
      </c>
      <c r="AN9" s="26">
        <f>YCOS * -XSIN</f>
        <v>-5.8817094008805727E-2</v>
      </c>
    </row>
    <row r="10" spans="1:41" x14ac:dyDescent="0.2">
      <c r="C10" s="12" t="s">
        <v>41</v>
      </c>
      <c r="D10" s="5">
        <v>1.2</v>
      </c>
      <c r="E10" s="5">
        <v>0</v>
      </c>
      <c r="F10" s="4">
        <v>1</v>
      </c>
      <c r="H10" s="4">
        <f>(D10*RMX_1)+(E10*RMY_1)+(F10*RMZ_1)</f>
        <v>1.4134497011254892</v>
      </c>
      <c r="I10" s="4">
        <f>(D10*RMX_2)+(E10*RMY_2)+(F10*RMZ_2)</f>
        <v>9.2543304166568474E-2</v>
      </c>
      <c r="J10" s="4"/>
      <c r="L10" s="12" t="s">
        <v>41</v>
      </c>
      <c r="M10" s="3">
        <v>0</v>
      </c>
      <c r="N10" s="1">
        <f>(2/3)*0.9</f>
        <v>0.6</v>
      </c>
      <c r="O10" s="3">
        <f>2/3</f>
        <v>0.66666666666666663</v>
      </c>
      <c r="P10" s="3"/>
      <c r="Q10" s="2">
        <f>(M10*RMX_1)+(N10*RMY_1)+(O10*RMZ_1)</f>
        <v>0.60420519135776662</v>
      </c>
      <c r="R10" s="2">
        <f>(M10*RMX_2)+(N10*RMY_2)+(O10*RMZ_2)</f>
        <v>0.55494944523907175</v>
      </c>
      <c r="S10" s="2"/>
      <c r="U10" s="12" t="s">
        <v>41</v>
      </c>
      <c r="V10" s="3">
        <v>1.2</v>
      </c>
      <c r="W10" s="3">
        <f>0.3+0.3/9*3</f>
        <v>0.4</v>
      </c>
      <c r="X10" s="3">
        <v>1</v>
      </c>
      <c r="Y10" s="3"/>
      <c r="Z10" s="2">
        <f t="shared" si="0"/>
        <v>1.4134497011254892</v>
      </c>
      <c r="AA10" s="2">
        <f t="shared" si="1"/>
        <v>0.48865053166319661</v>
      </c>
      <c r="AB10" s="13"/>
      <c r="AD10" s="12"/>
      <c r="AE10" s="3">
        <v>1.2</v>
      </c>
      <c r="AF10" s="3">
        <v>0</v>
      </c>
      <c r="AG10" s="3">
        <v>1.5</v>
      </c>
      <c r="AH10" s="3"/>
      <c r="AI10" s="2">
        <f>(AE10*RMX_1)+(AF10*RMY_1)+(AG10*RMZ_1)</f>
        <v>1.8666035946438142</v>
      </c>
      <c r="AJ10" s="2">
        <f>(AE10*RMX_2)+(AF10*RMY_2)+(AG10*RMZ_2)</f>
        <v>6.31347571621656E-2</v>
      </c>
      <c r="AL10" s="21">
        <f>ZCOS * -YSIN * XCOS + ZSIN * XSIN</f>
        <v>-0.8974876619542298</v>
      </c>
      <c r="AM10" s="22">
        <f>-ZSIN * -YSIN * XCOS + ZCOS * XSIN</f>
        <v>0.13917310096006544</v>
      </c>
      <c r="AN10" s="23">
        <f>YCOS * XCOS</f>
        <v>0.41850536986888193</v>
      </c>
    </row>
    <row r="11" spans="1:41" x14ac:dyDescent="0.2">
      <c r="C11" s="12"/>
      <c r="D11" s="5"/>
      <c r="E11" s="5"/>
      <c r="F11" s="4"/>
      <c r="H11" s="4"/>
      <c r="I11" s="4"/>
      <c r="J11" s="4"/>
      <c r="L11" s="12"/>
      <c r="M11" s="1"/>
      <c r="N11" s="1"/>
      <c r="O11" s="1"/>
      <c r="P11" s="1"/>
      <c r="Q11" s="2"/>
      <c r="R11" s="2"/>
      <c r="S11" s="4"/>
      <c r="T11" s="7" t="s">
        <v>68</v>
      </c>
      <c r="U11" s="12" t="s">
        <v>10</v>
      </c>
      <c r="V11" s="3">
        <v>0</v>
      </c>
      <c r="W11" s="3">
        <f>0.3+0.3/9*4</f>
        <v>0.43333333333333335</v>
      </c>
      <c r="X11" s="3">
        <v>1</v>
      </c>
      <c r="Y11" s="3"/>
      <c r="Z11" s="2">
        <f t="shared" si="0"/>
        <v>0.90630778703664994</v>
      </c>
      <c r="AA11" s="2">
        <f t="shared" si="1"/>
        <v>0.3702990691125414</v>
      </c>
      <c r="AB11" s="13"/>
      <c r="AD11" s="12"/>
      <c r="AE11" s="1"/>
      <c r="AF11" s="1"/>
      <c r="AG11" s="1"/>
      <c r="AH11" s="1"/>
      <c r="AI11" s="4"/>
      <c r="AJ11" s="4"/>
    </row>
    <row r="12" spans="1:41" x14ac:dyDescent="0.2">
      <c r="B12" s="7" t="s">
        <v>53</v>
      </c>
      <c r="C12" s="12" t="s">
        <v>10</v>
      </c>
      <c r="D12" s="5">
        <v>0</v>
      </c>
      <c r="E12" s="5">
        <v>0</v>
      </c>
      <c r="F12" s="4">
        <v>0</v>
      </c>
      <c r="H12" s="4">
        <f>(D12*RMX_1)+(E12*RMY_1)+(F12*RMZ_1)</f>
        <v>0</v>
      </c>
      <c r="I12" s="4">
        <f>(D12*RMX_2)+(E12*RMY_2)+(F12*RMZ_2)</f>
        <v>0</v>
      </c>
      <c r="J12" s="4"/>
      <c r="K12" s="7" t="s">
        <v>14</v>
      </c>
      <c r="L12" s="12" t="s">
        <v>10</v>
      </c>
      <c r="M12" s="3">
        <v>0</v>
      </c>
      <c r="N12" s="1">
        <f>(2/3)*0.9</f>
        <v>0.6</v>
      </c>
      <c r="O12" s="3">
        <v>1</v>
      </c>
      <c r="P12" s="3"/>
      <c r="Q12" s="2">
        <f>(M12*RMX_1)+(N12*RMY_1)+(O12*RMZ_1)</f>
        <v>0.90630778703664994</v>
      </c>
      <c r="R12" s="2">
        <f>(M12*RMX_2)+(N12*RMY_2)+(O12*RMZ_2)</f>
        <v>0.53534374723613642</v>
      </c>
      <c r="S12" s="4"/>
      <c r="U12" s="12" t="s">
        <v>41</v>
      </c>
      <c r="V12" s="3">
        <v>1.2</v>
      </c>
      <c r="W12" s="3">
        <f>0.3+0.3/9*4</f>
        <v>0.43333333333333335</v>
      </c>
      <c r="X12" s="3">
        <v>1</v>
      </c>
      <c r="Y12" s="3"/>
      <c r="Z12" s="2">
        <f t="shared" si="0"/>
        <v>1.4134497011254892</v>
      </c>
      <c r="AA12" s="2">
        <f t="shared" si="1"/>
        <v>0.52165946728791557</v>
      </c>
      <c r="AB12" s="13"/>
      <c r="AC12" s="8" t="s">
        <v>27</v>
      </c>
      <c r="AD12" s="8"/>
      <c r="AE12" s="11" t="s">
        <v>0</v>
      </c>
      <c r="AF12" s="11" t="s">
        <v>1</v>
      </c>
      <c r="AG12" s="11" t="s">
        <v>2</v>
      </c>
      <c r="AH12" s="13"/>
      <c r="AI12" s="4"/>
      <c r="AJ12" s="4"/>
    </row>
    <row r="13" spans="1:41" x14ac:dyDescent="0.2">
      <c r="C13" s="12" t="s">
        <v>41</v>
      </c>
      <c r="D13" s="4">
        <v>1.2</v>
      </c>
      <c r="E13" s="4">
        <v>0</v>
      </c>
      <c r="F13" s="4">
        <v>0</v>
      </c>
      <c r="H13" s="4">
        <f>(D13*RMX_1)+(E13*RMY_1)+(F13*RMZ_1)</f>
        <v>0.50714191408883935</v>
      </c>
      <c r="I13" s="4">
        <f>(D13*RMX_2)+(E13*RMY_2)+(F13*RMZ_2)</f>
        <v>0.15136039817537419</v>
      </c>
      <c r="J13" s="4"/>
      <c r="L13" s="12" t="s">
        <v>41</v>
      </c>
      <c r="M13" s="3">
        <v>1.2</v>
      </c>
      <c r="N13" s="1">
        <f>(2/3)*0.9</f>
        <v>0.6</v>
      </c>
      <c r="O13" s="3">
        <v>1</v>
      </c>
      <c r="P13" s="3"/>
      <c r="Q13" s="2">
        <f>(M13*RMX_1)+(N13*RMY_1)+(O13*RMZ_1)</f>
        <v>1.4134497011254892</v>
      </c>
      <c r="R13" s="2">
        <f>(M13*RMX_2)+(N13*RMY_2)+(O13*RMZ_2)</f>
        <v>0.68670414541151059</v>
      </c>
      <c r="S13" s="2"/>
      <c r="T13" s="7" t="s">
        <v>69</v>
      </c>
      <c r="U13" s="12" t="s">
        <v>10</v>
      </c>
      <c r="V13" s="3">
        <v>0</v>
      </c>
      <c r="W13" s="3">
        <f>0.3+0.3/9*5</f>
        <v>0.46666666666666667</v>
      </c>
      <c r="X13" s="3">
        <v>1</v>
      </c>
      <c r="Y13" s="3"/>
      <c r="Z13" s="2">
        <f t="shared" si="0"/>
        <v>0.90630778703664994</v>
      </c>
      <c r="AA13" s="2">
        <f t="shared" si="1"/>
        <v>0.40330800473726042</v>
      </c>
      <c r="AB13" s="13"/>
      <c r="AC13" s="7" t="s">
        <v>28</v>
      </c>
      <c r="AE13" s="3">
        <v>0</v>
      </c>
      <c r="AF13" s="3">
        <f>(2/3)*0.9</f>
        <v>0.6</v>
      </c>
      <c r="AG13" s="2">
        <v>0</v>
      </c>
      <c r="AH13" s="13"/>
      <c r="AI13" s="2">
        <f t="shared" ref="AI13:AI18" si="2">(AE13*RMX_1)+(AF13*RMY_1)+(AG13*RMZ_1)</f>
        <v>0</v>
      </c>
      <c r="AJ13" s="2">
        <f t="shared" ref="AJ13:AJ18" si="3">(AE13*RMX_2)+(AF13*RMY_2)+(AG13*RMZ_2)</f>
        <v>0.59416084124494217</v>
      </c>
      <c r="AL13" s="8" t="s">
        <v>42</v>
      </c>
    </row>
    <row r="14" spans="1:41" x14ac:dyDescent="0.2">
      <c r="C14" s="12"/>
      <c r="D14" s="4"/>
      <c r="E14" s="4"/>
      <c r="F14" s="4"/>
      <c r="H14" s="4"/>
      <c r="I14" s="4"/>
      <c r="J14" s="4"/>
      <c r="L14" s="12"/>
      <c r="M14" s="1"/>
      <c r="N14" s="1"/>
      <c r="O14" s="1"/>
      <c r="P14" s="1"/>
      <c r="Q14" s="2"/>
      <c r="R14" s="2"/>
      <c r="S14" s="2"/>
      <c r="U14" s="12" t="s">
        <v>41</v>
      </c>
      <c r="V14" s="3">
        <v>1.2</v>
      </c>
      <c r="W14" s="3">
        <f>0.3+0.3/9*5</f>
        <v>0.46666666666666667</v>
      </c>
      <c r="X14" s="3">
        <v>1</v>
      </c>
      <c r="Y14" s="3"/>
      <c r="Z14" s="2">
        <f t="shared" si="0"/>
        <v>1.4134497011254892</v>
      </c>
      <c r="AA14" s="2">
        <f t="shared" si="1"/>
        <v>0.55466840291263464</v>
      </c>
      <c r="AB14" s="13"/>
      <c r="AC14" s="7" t="s">
        <v>29</v>
      </c>
      <c r="AE14" s="3">
        <v>0</v>
      </c>
      <c r="AF14" s="3">
        <f>(1/3)*0.9</f>
        <v>0.3</v>
      </c>
      <c r="AG14" s="2">
        <v>0</v>
      </c>
      <c r="AH14" s="13"/>
      <c r="AI14" s="2">
        <f t="shared" si="2"/>
        <v>0</v>
      </c>
      <c r="AJ14" s="2">
        <f t="shared" si="3"/>
        <v>0.29708042062247109</v>
      </c>
      <c r="AL14" s="7" t="s">
        <v>43</v>
      </c>
      <c r="AM14" s="9">
        <v>8</v>
      </c>
    </row>
    <row r="15" spans="1:41" x14ac:dyDescent="0.2">
      <c r="B15" s="7" t="s">
        <v>54</v>
      </c>
      <c r="C15" s="12" t="s">
        <v>10</v>
      </c>
      <c r="D15" s="4">
        <v>0</v>
      </c>
      <c r="E15" s="4">
        <v>0.9</v>
      </c>
      <c r="F15" s="4">
        <v>0</v>
      </c>
      <c r="H15" s="4">
        <f>(D15*RMX_1)+(E15*RMY_1)+(F15*RMZ_1)</f>
        <v>0</v>
      </c>
      <c r="I15" s="4">
        <f>(D15*RMX_2)+(E15*RMY_2)+(F15*RMZ_2)</f>
        <v>0.89124126186741337</v>
      </c>
      <c r="J15" s="4"/>
      <c r="K15" s="7" t="s">
        <v>15</v>
      </c>
      <c r="L15" s="12" t="s">
        <v>10</v>
      </c>
      <c r="M15" s="3">
        <v>0</v>
      </c>
      <c r="N15" s="1">
        <f>(2/3)*0.9</f>
        <v>0.6</v>
      </c>
      <c r="O15" s="3">
        <f>2/3</f>
        <v>0.66666666666666663</v>
      </c>
      <c r="P15" s="3"/>
      <c r="Q15" s="2">
        <f>(M15*RMX_1)+(N15*RMY_1)+(O15*RMZ_1)</f>
        <v>0.60420519135776662</v>
      </c>
      <c r="R15" s="2">
        <f>(M15*RMX_2)+(N15*RMY_2)+(O15*RMZ_2)</f>
        <v>0.55494944523907175</v>
      </c>
      <c r="S15" s="2"/>
      <c r="T15" s="7" t="s">
        <v>70</v>
      </c>
      <c r="U15" s="12" t="s">
        <v>10</v>
      </c>
      <c r="V15" s="3">
        <v>0</v>
      </c>
      <c r="W15" s="3">
        <f>0.3+0.3/9*6</f>
        <v>0.5</v>
      </c>
      <c r="X15" s="3">
        <v>1</v>
      </c>
      <c r="Y15" s="3"/>
      <c r="Z15" s="2">
        <f t="shared" si="0"/>
        <v>0.90630778703664994</v>
      </c>
      <c r="AA15" s="2">
        <f t="shared" si="1"/>
        <v>0.43631694036197943</v>
      </c>
      <c r="AB15" s="13"/>
      <c r="AC15" s="7" t="s">
        <v>30</v>
      </c>
      <c r="AE15" s="3">
        <v>0</v>
      </c>
      <c r="AF15" s="3">
        <v>0</v>
      </c>
      <c r="AG15" s="2">
        <f>1/3</f>
        <v>0.33333333333333331</v>
      </c>
      <c r="AH15" s="13"/>
      <c r="AI15" s="2">
        <f t="shared" si="2"/>
        <v>0.30210259567888331</v>
      </c>
      <c r="AJ15" s="2">
        <f t="shared" si="3"/>
        <v>-1.960569800293524E-2</v>
      </c>
      <c r="AL15" s="7" t="s">
        <v>45</v>
      </c>
      <c r="AM15" s="9">
        <v>65</v>
      </c>
    </row>
    <row r="16" spans="1:41" x14ac:dyDescent="0.2">
      <c r="C16" s="12" t="s">
        <v>41</v>
      </c>
      <c r="D16" s="4">
        <v>0</v>
      </c>
      <c r="E16" s="4">
        <v>0.9</v>
      </c>
      <c r="F16" s="4">
        <v>1</v>
      </c>
      <c r="H16" s="4">
        <f>(D16*RMX_1)+(E16*RMY_1)+(F16*RMZ_1)</f>
        <v>0.90630778703664994</v>
      </c>
      <c r="I16" s="4">
        <f>(D16*RMX_2)+(E16*RMY_2)+(F16*RMZ_2)</f>
        <v>0.83242416785860762</v>
      </c>
      <c r="J16" s="4"/>
      <c r="L16" s="12" t="s">
        <v>41</v>
      </c>
      <c r="M16" s="3">
        <v>1.2</v>
      </c>
      <c r="N16" s="1">
        <f>(2/3)*0.9</f>
        <v>0.6</v>
      </c>
      <c r="O16" s="3">
        <f>2/3</f>
        <v>0.66666666666666663</v>
      </c>
      <c r="P16" s="3"/>
      <c r="Q16" s="2">
        <f>(M16*RMX_1)+(N16*RMY_1)+(O16*RMZ_1)</f>
        <v>1.111347105446606</v>
      </c>
      <c r="R16" s="2">
        <f>(M16*RMX_2)+(N16*RMY_2)+(O16*RMZ_2)</f>
        <v>0.70630984341444591</v>
      </c>
      <c r="S16" s="2"/>
      <c r="U16" s="12" t="s">
        <v>41</v>
      </c>
      <c r="V16" s="3">
        <v>1.2</v>
      </c>
      <c r="W16" s="3">
        <f>0.3+0.3/9*6</f>
        <v>0.5</v>
      </c>
      <c r="X16" s="3">
        <v>1</v>
      </c>
      <c r="Y16" s="3"/>
      <c r="Z16" s="2">
        <f t="shared" si="0"/>
        <v>1.4134497011254892</v>
      </c>
      <c r="AA16" s="2">
        <f t="shared" si="1"/>
        <v>0.5876773385373536</v>
      </c>
      <c r="AB16" s="13"/>
      <c r="AC16" s="7" t="s">
        <v>31</v>
      </c>
      <c r="AE16" s="3">
        <v>0</v>
      </c>
      <c r="AF16" s="3">
        <v>0</v>
      </c>
      <c r="AG16" s="2">
        <f>2/3</f>
        <v>0.66666666666666663</v>
      </c>
      <c r="AH16" s="13"/>
      <c r="AI16" s="2">
        <f t="shared" si="2"/>
        <v>0.60420519135776662</v>
      </c>
      <c r="AJ16" s="2">
        <f t="shared" si="3"/>
        <v>-3.921139600587048E-2</v>
      </c>
      <c r="AL16" s="7" t="s">
        <v>44</v>
      </c>
      <c r="AM16" s="9">
        <v>0</v>
      </c>
    </row>
    <row r="17" spans="2:38" x14ac:dyDescent="0.2">
      <c r="C17" s="12"/>
      <c r="D17" s="4"/>
      <c r="E17" s="4"/>
      <c r="F17" s="4"/>
      <c r="G17" s="1"/>
      <c r="H17" s="4"/>
      <c r="I17" s="4"/>
      <c r="J17" s="4"/>
      <c r="L17" s="12"/>
      <c r="M17" s="1"/>
      <c r="N17" s="1"/>
      <c r="O17" s="1"/>
      <c r="P17" s="1"/>
      <c r="Q17" s="2"/>
      <c r="R17" s="2"/>
      <c r="S17" s="2"/>
      <c r="T17" s="7" t="s">
        <v>71</v>
      </c>
      <c r="U17" s="12" t="s">
        <v>10</v>
      </c>
      <c r="V17" s="3">
        <v>0</v>
      </c>
      <c r="W17" s="3">
        <f>0.3+0.3/9*7</f>
        <v>0.53333333333333333</v>
      </c>
      <c r="X17" s="3">
        <v>1</v>
      </c>
      <c r="Y17" s="3"/>
      <c r="Z17" s="2">
        <f t="shared" si="0"/>
        <v>0.90630778703664994</v>
      </c>
      <c r="AA17" s="2">
        <f t="shared" si="1"/>
        <v>0.46932587598669839</v>
      </c>
      <c r="AB17" s="13"/>
      <c r="AC17" s="7" t="s">
        <v>32</v>
      </c>
      <c r="AE17" s="3">
        <f>(1/3)*1.2</f>
        <v>0.39999999999999997</v>
      </c>
      <c r="AF17" s="3">
        <v>0</v>
      </c>
      <c r="AG17" s="2">
        <v>1</v>
      </c>
      <c r="AH17" s="13"/>
      <c r="AI17" s="2">
        <f t="shared" si="2"/>
        <v>1.0753550917329298</v>
      </c>
      <c r="AJ17" s="2">
        <f t="shared" si="3"/>
        <v>-8.3636279503476671E-3</v>
      </c>
    </row>
    <row r="18" spans="2:38" x14ac:dyDescent="0.2">
      <c r="B18" s="7" t="s">
        <v>55</v>
      </c>
      <c r="C18" s="12" t="s">
        <v>10</v>
      </c>
      <c r="D18" s="5">
        <v>0</v>
      </c>
      <c r="E18" s="5">
        <v>0.9</v>
      </c>
      <c r="F18" s="4">
        <v>1</v>
      </c>
      <c r="G18" s="1"/>
      <c r="H18" s="4">
        <f>(D18*RMX_1)+(E18*RMY_1)+(F18*RMZ_1)</f>
        <v>0.90630778703664994</v>
      </c>
      <c r="I18" s="4">
        <f>(D18*RMX_2)+(E18*RMY_2)+(F18*RMZ_2)</f>
        <v>0.83242416785860762</v>
      </c>
      <c r="J18" s="4"/>
      <c r="K18" s="7" t="s">
        <v>16</v>
      </c>
      <c r="L18" s="12" t="s">
        <v>10</v>
      </c>
      <c r="M18" s="3">
        <v>0</v>
      </c>
      <c r="N18" s="1">
        <f>(1/3)*0.9</f>
        <v>0.3</v>
      </c>
      <c r="O18" s="3">
        <v>1</v>
      </c>
      <c r="P18" s="3"/>
      <c r="Q18" s="2">
        <f>(M18*RMX_1)+(N18*RMY_1)+(O18*RMZ_1)</f>
        <v>0.90630778703664994</v>
      </c>
      <c r="R18" s="2">
        <f>(M18*RMX_2)+(N18*RMY_2)+(O18*RMZ_2)</f>
        <v>0.23826332661366537</v>
      </c>
      <c r="S18" s="2"/>
      <c r="U18" s="12" t="s">
        <v>41</v>
      </c>
      <c r="V18" s="3">
        <v>1.2</v>
      </c>
      <c r="W18" s="3">
        <f>0.3+0.3/9*7</f>
        <v>0.53333333333333333</v>
      </c>
      <c r="X18" s="3">
        <v>1</v>
      </c>
      <c r="Y18" s="3"/>
      <c r="Z18" s="2">
        <f t="shared" si="0"/>
        <v>1.4134497011254892</v>
      </c>
      <c r="AA18" s="2">
        <f t="shared" si="1"/>
        <v>0.62068627416207256</v>
      </c>
      <c r="AB18" s="13"/>
      <c r="AC18" s="7" t="s">
        <v>33</v>
      </c>
      <c r="AE18" s="3">
        <f>(2/3)*1.2</f>
        <v>0.79999999999999993</v>
      </c>
      <c r="AF18" s="3">
        <v>0</v>
      </c>
      <c r="AG18" s="2">
        <v>1</v>
      </c>
      <c r="AH18" s="13"/>
      <c r="AI18" s="2">
        <f t="shared" si="2"/>
        <v>1.2444023964292095</v>
      </c>
      <c r="AJ18" s="2">
        <f t="shared" si="3"/>
        <v>4.2089838108110393E-2</v>
      </c>
    </row>
    <row r="19" spans="2:38" x14ac:dyDescent="0.2">
      <c r="C19" s="12" t="s">
        <v>41</v>
      </c>
      <c r="D19" s="5">
        <v>1.2</v>
      </c>
      <c r="E19" s="5">
        <v>0.9</v>
      </c>
      <c r="F19" s="4">
        <v>1</v>
      </c>
      <c r="G19" s="1"/>
      <c r="H19" s="4">
        <f>(D19*RMX_1)+(E19*RMY_1)+(F19*RMZ_1)</f>
        <v>1.4134497011254892</v>
      </c>
      <c r="I19" s="4">
        <f>(D19*RMX_2)+(E19*RMY_2)+(F19*RMZ_2)</f>
        <v>0.9837845660339819</v>
      </c>
      <c r="J19" s="4"/>
      <c r="L19" s="12" t="s">
        <v>41</v>
      </c>
      <c r="M19" s="3">
        <v>1.2</v>
      </c>
      <c r="N19" s="1">
        <f>(1/3)*0.9</f>
        <v>0.3</v>
      </c>
      <c r="O19" s="3">
        <v>1</v>
      </c>
      <c r="P19" s="3"/>
      <c r="Q19" s="2">
        <f>(M19*RMX_1)+(N19*RMY_1)+(O19*RMZ_1)</f>
        <v>1.4134497011254892</v>
      </c>
      <c r="R19" s="2">
        <f>(M19*RMX_2)+(N19*RMY_2)+(O19*RMZ_2)</f>
        <v>0.38962372478903951</v>
      </c>
      <c r="S19" s="4"/>
      <c r="T19" s="7" t="s">
        <v>72</v>
      </c>
      <c r="U19" s="12" t="s">
        <v>10</v>
      </c>
      <c r="V19" s="3">
        <v>0</v>
      </c>
      <c r="W19" s="3">
        <f>0.3+0.3/9*8</f>
        <v>0.56666666666666665</v>
      </c>
      <c r="X19" s="3">
        <v>1</v>
      </c>
      <c r="Y19" s="3"/>
      <c r="Z19" s="2">
        <f t="shared" si="0"/>
        <v>0.90630778703664994</v>
      </c>
      <c r="AA19" s="2">
        <f t="shared" si="1"/>
        <v>0.50233481161141746</v>
      </c>
      <c r="AB19" s="13"/>
      <c r="AC19" s="13"/>
      <c r="AD19" s="13"/>
      <c r="AE19" s="13"/>
      <c r="AF19" s="13"/>
      <c r="AG19" s="13"/>
      <c r="AH19" s="13"/>
      <c r="AI19" s="4"/>
      <c r="AJ19" s="4"/>
      <c r="AL19" s="10"/>
    </row>
    <row r="20" spans="2:38" x14ac:dyDescent="0.2">
      <c r="C20" s="12"/>
      <c r="D20" s="5"/>
      <c r="E20" s="5"/>
      <c r="F20" s="4"/>
      <c r="G20" s="1"/>
      <c r="H20" s="4"/>
      <c r="I20" s="4"/>
      <c r="J20" s="4"/>
      <c r="L20" s="12"/>
      <c r="M20" s="1"/>
      <c r="N20" s="1"/>
      <c r="O20" s="1"/>
      <c r="P20" s="1"/>
      <c r="Q20" s="2"/>
      <c r="R20" s="2"/>
      <c r="U20" s="12" t="s">
        <v>41</v>
      </c>
      <c r="V20" s="3">
        <v>1.2</v>
      </c>
      <c r="W20" s="3">
        <f>0.3+0.3/9*8</f>
        <v>0.56666666666666665</v>
      </c>
      <c r="X20" s="3">
        <v>1</v>
      </c>
      <c r="Y20" s="3"/>
      <c r="Z20" s="2">
        <f t="shared" si="0"/>
        <v>1.4134497011254892</v>
      </c>
      <c r="AA20" s="2">
        <f t="shared" si="1"/>
        <v>0.65369520978679163</v>
      </c>
      <c r="AB20" s="13"/>
      <c r="AC20" s="8" t="s">
        <v>48</v>
      </c>
      <c r="AD20" s="8"/>
      <c r="AE20" s="11" t="s">
        <v>0</v>
      </c>
      <c r="AF20" s="11" t="s">
        <v>1</v>
      </c>
      <c r="AG20" s="11" t="s">
        <v>2</v>
      </c>
      <c r="AH20" s="1"/>
    </row>
    <row r="21" spans="2:38" x14ac:dyDescent="0.2">
      <c r="B21" s="7" t="s">
        <v>56</v>
      </c>
      <c r="C21" s="12" t="s">
        <v>10</v>
      </c>
      <c r="D21" s="5">
        <v>1.2</v>
      </c>
      <c r="E21" s="5">
        <v>0.9</v>
      </c>
      <c r="F21" s="4">
        <v>0</v>
      </c>
      <c r="G21" s="1"/>
      <c r="H21" s="4">
        <f>(D21*RMX_1)+(E21*RMY_1)+(F21*RMZ_1)</f>
        <v>0.50714191408883935</v>
      </c>
      <c r="I21" s="4">
        <f>(D21*RMX_2)+(E21*RMY_2)+(F21*RMZ_2)</f>
        <v>1.0426016600427876</v>
      </c>
      <c r="J21" s="1"/>
      <c r="K21" s="7" t="s">
        <v>17</v>
      </c>
      <c r="L21" s="12" t="s">
        <v>10</v>
      </c>
      <c r="M21" s="3">
        <v>1.2</v>
      </c>
      <c r="N21" s="1">
        <f>(2/3)*0.9</f>
        <v>0.6</v>
      </c>
      <c r="O21" s="3">
        <v>1</v>
      </c>
      <c r="P21" s="3"/>
      <c r="Q21" s="2">
        <f>(M21*RMX_1)+(N21*RMY_1)+(O21*RMZ_1)</f>
        <v>1.4134497011254892</v>
      </c>
      <c r="R21" s="2">
        <f>(M21*RMX_2)+(N21*RMY_2)+(O21*RMZ_2)</f>
        <v>0.68670414541151059</v>
      </c>
      <c r="T21" s="7" t="s">
        <v>73</v>
      </c>
      <c r="U21" s="12" t="s">
        <v>10</v>
      </c>
      <c r="V21" s="3">
        <v>0</v>
      </c>
      <c r="W21" s="3">
        <f>0.3+0.3/9*9</f>
        <v>0.6</v>
      </c>
      <c r="X21" s="3">
        <v>1</v>
      </c>
      <c r="Y21" s="3"/>
      <c r="Z21" s="2">
        <f t="shared" si="0"/>
        <v>0.90630778703664994</v>
      </c>
      <c r="AA21" s="2">
        <f t="shared" si="1"/>
        <v>0.53534374723613642</v>
      </c>
      <c r="AB21" s="13"/>
      <c r="AC21" s="7" t="s">
        <v>38</v>
      </c>
      <c r="AD21" s="12"/>
      <c r="AE21" s="31" t="s">
        <v>63</v>
      </c>
      <c r="AF21" s="31"/>
      <c r="AG21" s="31"/>
      <c r="AH21" s="31"/>
      <c r="AI21" s="31"/>
      <c r="AJ21" s="31"/>
    </row>
    <row r="22" spans="2:38" x14ac:dyDescent="0.2">
      <c r="C22" s="12" t="s">
        <v>41</v>
      </c>
      <c r="D22" s="5">
        <v>1.2</v>
      </c>
      <c r="E22" s="5">
        <v>0.9</v>
      </c>
      <c r="F22" s="4">
        <v>1</v>
      </c>
      <c r="H22" s="4">
        <f>(D22*RMX_1)+(E22*RMY_1)+(F22*RMZ_1)</f>
        <v>1.4134497011254892</v>
      </c>
      <c r="I22" s="4">
        <f>(D22*RMX_2)+(E22*RMY_2)+(F22*RMZ_2)</f>
        <v>0.9837845660339819</v>
      </c>
      <c r="J22" s="1"/>
      <c r="L22" s="12" t="s">
        <v>41</v>
      </c>
      <c r="M22" s="3">
        <v>1.2</v>
      </c>
      <c r="N22" s="1">
        <f>(2/3)*0.9</f>
        <v>0.6</v>
      </c>
      <c r="O22" s="3">
        <v>0</v>
      </c>
      <c r="P22" s="3"/>
      <c r="Q22" s="2">
        <f>(M22*RMX_1)+(N22*RMY_1)+(O22*RMZ_1)</f>
        <v>0.50714191408883935</v>
      </c>
      <c r="R22" s="2">
        <f>(M22*RMX_2)+(N22*RMY_2)+(O22*RMZ_2)</f>
        <v>0.74552123942031634</v>
      </c>
      <c r="S22" s="2"/>
      <c r="U22" s="12" t="s">
        <v>41</v>
      </c>
      <c r="V22" s="3">
        <v>1.2</v>
      </c>
      <c r="W22" s="3">
        <f>0.3+0.3/9*9</f>
        <v>0.6</v>
      </c>
      <c r="X22" s="3">
        <v>1</v>
      </c>
      <c r="Y22" s="3"/>
      <c r="Z22" s="2">
        <f t="shared" si="0"/>
        <v>1.4134497011254892</v>
      </c>
      <c r="AA22" s="2">
        <f t="shared" si="1"/>
        <v>0.68670414541151059</v>
      </c>
      <c r="AB22" s="13"/>
      <c r="AC22" s="7" t="s">
        <v>39</v>
      </c>
      <c r="AD22" s="12"/>
      <c r="AE22" s="3">
        <v>0</v>
      </c>
      <c r="AF22" s="3">
        <f>-0.3*0.9</f>
        <v>-0.27</v>
      </c>
      <c r="AG22" s="3">
        <v>0.35</v>
      </c>
      <c r="AH22" s="3"/>
      <c r="AI22" s="2">
        <f>(AE22*RMX_1)+(AF22*RMY_1)+(AG22*RMZ_1)</f>
        <v>0.31720772546282744</v>
      </c>
      <c r="AJ22" s="2">
        <f>(AE22*RMX_2)+(AF22*RMY_2)+(AG22*RMZ_2)</f>
        <v>-0.287958361463306</v>
      </c>
    </row>
    <row r="23" spans="2:38" x14ac:dyDescent="0.2">
      <c r="C23" s="12"/>
      <c r="D23" s="5"/>
      <c r="E23" s="5"/>
      <c r="F23" s="4"/>
      <c r="G23" s="13"/>
      <c r="H23" s="4"/>
      <c r="I23" s="4"/>
      <c r="J23" s="13"/>
      <c r="L23" s="12"/>
      <c r="M23" s="1"/>
      <c r="N23" s="1"/>
      <c r="O23" s="1"/>
      <c r="P23" s="1"/>
      <c r="Q23" s="2"/>
      <c r="R23" s="2"/>
      <c r="S23" s="2"/>
      <c r="T23" s="7" t="s">
        <v>74</v>
      </c>
      <c r="U23" s="12" t="s">
        <v>10</v>
      </c>
      <c r="V23" s="3">
        <f>0+1.2/9*0</f>
        <v>0</v>
      </c>
      <c r="W23" s="3">
        <v>0.6</v>
      </c>
      <c r="X23" s="3">
        <v>0.66666666666666663</v>
      </c>
      <c r="Y23" s="3"/>
      <c r="Z23" s="2">
        <f t="shared" si="0"/>
        <v>0.60420519135776662</v>
      </c>
      <c r="AA23" s="2">
        <f t="shared" si="1"/>
        <v>0.55494944523907175</v>
      </c>
      <c r="AB23" s="13"/>
      <c r="AC23" s="7" t="s">
        <v>40</v>
      </c>
      <c r="AD23" s="12"/>
      <c r="AE23" s="3">
        <f>0.3*1.2</f>
        <v>0.36</v>
      </c>
      <c r="AF23" s="3">
        <v>0</v>
      </c>
      <c r="AG23" s="3">
        <v>1.6</v>
      </c>
      <c r="AH23" s="3"/>
      <c r="AI23" s="2">
        <f>(AE23*RMX_1)+(AF23*RMY_1)+(AG23*RMZ_1)</f>
        <v>1.6022350334852917</v>
      </c>
      <c r="AJ23" s="2">
        <f>(AE23*RMX_2)+(AF23*RMY_2)+(AG23*RMZ_2)</f>
        <v>-4.8699230961476915E-2</v>
      </c>
    </row>
    <row r="24" spans="2:38" x14ac:dyDescent="0.2">
      <c r="B24" s="7" t="s">
        <v>57</v>
      </c>
      <c r="C24" s="12" t="s">
        <v>10</v>
      </c>
      <c r="D24" s="5">
        <v>0</v>
      </c>
      <c r="E24" s="5">
        <v>0.9</v>
      </c>
      <c r="F24" s="4">
        <v>0</v>
      </c>
      <c r="G24" s="13"/>
      <c r="H24" s="4">
        <f>(D24*RMX_1)+(E24*RMY_1)+(F24*RMZ_1)</f>
        <v>0</v>
      </c>
      <c r="I24" s="4">
        <f>(D24*RMX_2)+(E24*RMY_2)+(F24*RMZ_2)</f>
        <v>0.89124126186741337</v>
      </c>
      <c r="J24" s="13"/>
      <c r="K24" s="7" t="s">
        <v>18</v>
      </c>
      <c r="L24" s="12" t="s">
        <v>10</v>
      </c>
      <c r="M24" s="14">
        <v>0</v>
      </c>
      <c r="N24" s="1">
        <f>(2/3)*0.9</f>
        <v>0.6</v>
      </c>
      <c r="O24" s="3">
        <v>0</v>
      </c>
      <c r="P24" s="3"/>
      <c r="Q24" s="2">
        <f>(M24*RMX_1)+(N24*RMY_1)+(O24*RMZ_1)</f>
        <v>0</v>
      </c>
      <c r="R24" s="2">
        <f>(M24*RMX_2)+(N24*RMY_2)+(O24*RMZ_2)</f>
        <v>0.59416084124494217</v>
      </c>
      <c r="U24" s="12" t="s">
        <v>41</v>
      </c>
      <c r="V24" s="3">
        <f>0+1.2/9*0</f>
        <v>0</v>
      </c>
      <c r="W24" s="3">
        <v>0.6</v>
      </c>
      <c r="X24" s="3">
        <v>1</v>
      </c>
      <c r="Y24" s="3"/>
      <c r="Z24" s="2">
        <f t="shared" si="0"/>
        <v>0.90630778703664994</v>
      </c>
      <c r="AA24" s="2">
        <f t="shared" si="1"/>
        <v>0.53534374723613642</v>
      </c>
      <c r="AB24" s="13"/>
    </row>
    <row r="25" spans="2:38" x14ac:dyDescent="0.2">
      <c r="C25" s="12" t="s">
        <v>41</v>
      </c>
      <c r="D25" s="4">
        <v>1.2</v>
      </c>
      <c r="E25" s="4">
        <v>0.9</v>
      </c>
      <c r="F25" s="4">
        <v>0</v>
      </c>
      <c r="G25" s="13"/>
      <c r="H25" s="4">
        <f>(D25*RMX_1)+(E25*RMY_1)+(F25*RMZ_1)</f>
        <v>0.50714191408883935</v>
      </c>
      <c r="I25" s="4">
        <f>(D25*RMX_2)+(E25*RMY_2)+(F25*RMZ_2)</f>
        <v>1.0426016600427876</v>
      </c>
      <c r="J25" s="13"/>
      <c r="L25" s="12" t="s">
        <v>41</v>
      </c>
      <c r="M25" s="3">
        <v>1.2</v>
      </c>
      <c r="N25" s="1">
        <f>(2/3)*0.9</f>
        <v>0.6</v>
      </c>
      <c r="O25" s="3">
        <v>0</v>
      </c>
      <c r="P25" s="3"/>
      <c r="Q25" s="2">
        <f>(M25*RMX_1)+(N25*RMY_1)+(O25*RMZ_1)</f>
        <v>0.50714191408883935</v>
      </c>
      <c r="R25" s="2">
        <f>(M25*RMX_2)+(N25*RMY_2)+(O25*RMZ_2)</f>
        <v>0.74552123942031634</v>
      </c>
      <c r="S25" s="2"/>
      <c r="T25" s="7" t="s">
        <v>75</v>
      </c>
      <c r="U25" s="12" t="s">
        <v>10</v>
      </c>
      <c r="V25" s="3">
        <f>0+1.2/9*1</f>
        <v>0.13333333333333333</v>
      </c>
      <c r="W25" s="3">
        <v>0.6</v>
      </c>
      <c r="X25" s="3">
        <v>0.66666666666666663</v>
      </c>
      <c r="Y25" s="3"/>
      <c r="Z25" s="2">
        <f t="shared" si="0"/>
        <v>0.66055429292319323</v>
      </c>
      <c r="AA25" s="2">
        <f t="shared" si="1"/>
        <v>0.57176726725855764</v>
      </c>
      <c r="AB25" s="13"/>
      <c r="AC25" s="13" t="s">
        <v>3</v>
      </c>
      <c r="AE25" s="15">
        <v>0</v>
      </c>
      <c r="AF25" s="15">
        <f>7/8*0.9</f>
        <v>0.78749999999999998</v>
      </c>
      <c r="AG25" s="15">
        <v>-0.1</v>
      </c>
      <c r="AH25" s="13"/>
      <c r="AI25" s="2">
        <f t="shared" ref="AI25:AI34" si="4">(AE25*RMX_1)+(AF25*RMY_1)+(AG25*RMZ_1)</f>
        <v>-9.0630778703664996E-2</v>
      </c>
      <c r="AJ25" s="2">
        <f t="shared" ref="AJ25:AJ34" si="5">(AE25*RMX_2)+(AF25*RMY_2)+(AG25*RMZ_2)</f>
        <v>0.78571781353486725</v>
      </c>
    </row>
    <row r="26" spans="2:38" x14ac:dyDescent="0.2">
      <c r="C26" s="12"/>
      <c r="D26" s="13"/>
      <c r="E26" s="13"/>
      <c r="F26" s="13"/>
      <c r="G26" s="13"/>
      <c r="H26" s="4"/>
      <c r="I26" s="4"/>
      <c r="J26" s="13"/>
      <c r="L26" s="12"/>
      <c r="M26" s="1"/>
      <c r="N26" s="1"/>
      <c r="O26" s="1"/>
      <c r="P26" s="1"/>
      <c r="Q26" s="2"/>
      <c r="R26" s="2"/>
      <c r="S26" s="2"/>
      <c r="U26" s="12" t="s">
        <v>41</v>
      </c>
      <c r="V26" s="3">
        <f>0+1.2/9*1</f>
        <v>0.13333333333333333</v>
      </c>
      <c r="W26" s="3">
        <v>0.6</v>
      </c>
      <c r="X26" s="3">
        <v>1</v>
      </c>
      <c r="Y26" s="3"/>
      <c r="Z26" s="2">
        <f t="shared" si="0"/>
        <v>0.96265688860207654</v>
      </c>
      <c r="AA26" s="2">
        <f t="shared" si="1"/>
        <v>0.55216156925562243</v>
      </c>
      <c r="AB26" s="13"/>
      <c r="AC26" s="13" t="s">
        <v>4</v>
      </c>
      <c r="AE26" s="15">
        <v>0</v>
      </c>
      <c r="AF26" s="15">
        <f>0.55*0.9</f>
        <v>0.49500000000000005</v>
      </c>
      <c r="AG26" s="15">
        <v>-0.1</v>
      </c>
      <c r="AH26" s="13"/>
      <c r="AI26" s="2">
        <f t="shared" si="4"/>
        <v>-9.0630778703664996E-2</v>
      </c>
      <c r="AJ26" s="2">
        <f t="shared" si="5"/>
        <v>0.49606440342795793</v>
      </c>
    </row>
    <row r="27" spans="2:38" x14ac:dyDescent="0.2">
      <c r="B27" s="7" t="s">
        <v>58</v>
      </c>
      <c r="C27" s="12" t="s">
        <v>10</v>
      </c>
      <c r="D27" s="5">
        <v>0</v>
      </c>
      <c r="E27" s="5">
        <v>0</v>
      </c>
      <c r="F27" s="5">
        <v>1</v>
      </c>
      <c r="G27" s="13"/>
      <c r="H27" s="4">
        <f>(D27*RMX_1)+(E27*RMY_1)+(F27*RMZ_1)</f>
        <v>0.90630778703664994</v>
      </c>
      <c r="I27" s="4">
        <f>(D27*RMX_2)+(E27*RMY_2)+(F27*RMZ_2)</f>
        <v>-5.8817094008805727E-2</v>
      </c>
      <c r="J27" s="13"/>
      <c r="K27" s="7" t="s">
        <v>19</v>
      </c>
      <c r="L27" s="12" t="s">
        <v>10</v>
      </c>
      <c r="M27" s="3">
        <v>0</v>
      </c>
      <c r="N27" s="1">
        <f>(1/3)*0.9</f>
        <v>0.3</v>
      </c>
      <c r="O27" s="3">
        <f>1/3</f>
        <v>0.33333333333333331</v>
      </c>
      <c r="P27" s="3"/>
      <c r="Q27" s="2">
        <f>(M27*RMX_1)+(N27*RMY_1)+(O27*RMZ_1)</f>
        <v>0.30210259567888331</v>
      </c>
      <c r="R27" s="2">
        <f>(M27*RMX_2)+(N27*RMY_2)+(O27*RMZ_2)</f>
        <v>0.27747472261953587</v>
      </c>
      <c r="S27" s="2"/>
      <c r="T27" s="7" t="s">
        <v>76</v>
      </c>
      <c r="U27" s="12" t="s">
        <v>10</v>
      </c>
      <c r="V27" s="3">
        <f>0+1.2/9*2</f>
        <v>0.26666666666666666</v>
      </c>
      <c r="W27" s="3">
        <v>0.6</v>
      </c>
      <c r="X27" s="3">
        <v>0.66666666666666663</v>
      </c>
      <c r="Y27" s="3"/>
      <c r="Z27" s="2">
        <f t="shared" si="0"/>
        <v>0.71690339448861984</v>
      </c>
      <c r="AA27" s="2">
        <f t="shared" si="1"/>
        <v>0.58858508927804376</v>
      </c>
      <c r="AB27" s="13"/>
      <c r="AC27" s="13" t="s">
        <v>5</v>
      </c>
      <c r="AE27" s="15">
        <v>0</v>
      </c>
      <c r="AF27" s="15">
        <f>0.23*0.9</f>
        <v>0.20700000000000002</v>
      </c>
      <c r="AG27" s="15">
        <v>-0.1</v>
      </c>
      <c r="AH27" s="13"/>
      <c r="AI27" s="2">
        <f t="shared" si="4"/>
        <v>-9.0630778703664996E-2</v>
      </c>
      <c r="AJ27" s="2">
        <f t="shared" si="5"/>
        <v>0.21086719963038564</v>
      </c>
    </row>
    <row r="28" spans="2:38" x14ac:dyDescent="0.2">
      <c r="C28" s="12" t="s">
        <v>41</v>
      </c>
      <c r="D28" s="5">
        <v>0</v>
      </c>
      <c r="E28" s="5">
        <v>0.9</v>
      </c>
      <c r="F28" s="5">
        <v>1</v>
      </c>
      <c r="G28" s="13"/>
      <c r="H28" s="4">
        <f>(D28*RMX_1)+(E28*RMY_1)+(F28*RMZ_1)</f>
        <v>0.90630778703664994</v>
      </c>
      <c r="I28" s="4">
        <f>(D28*RMX_2)+(E28*RMY_2)+(F28*RMZ_2)</f>
        <v>0.83242416785860762</v>
      </c>
      <c r="J28" s="13"/>
      <c r="L28" s="12" t="s">
        <v>41</v>
      </c>
      <c r="M28" s="3">
        <v>0</v>
      </c>
      <c r="N28" s="1">
        <f>(2/3)*0.9</f>
        <v>0.6</v>
      </c>
      <c r="O28" s="3">
        <f>1/3</f>
        <v>0.33333333333333331</v>
      </c>
      <c r="P28" s="3"/>
      <c r="Q28" s="2">
        <f>(M28*RMX_1)+(N28*RMY_1)+(O28*RMZ_1)</f>
        <v>0.30210259567888331</v>
      </c>
      <c r="R28" s="2">
        <f>(M28*RMX_2)+(N28*RMY_2)+(O28*RMZ_2)</f>
        <v>0.57455514324200696</v>
      </c>
      <c r="S28" s="2"/>
      <c r="U28" s="12" t="s">
        <v>41</v>
      </c>
      <c r="V28" s="3">
        <f>0+1.2/9*2</f>
        <v>0.26666666666666666</v>
      </c>
      <c r="W28" s="3">
        <v>0.6</v>
      </c>
      <c r="X28" s="3">
        <v>1</v>
      </c>
      <c r="Y28" s="3"/>
      <c r="Z28" s="2">
        <f t="shared" si="0"/>
        <v>1.019005990167503</v>
      </c>
      <c r="AA28" s="2">
        <f t="shared" si="1"/>
        <v>0.56897939127510844</v>
      </c>
      <c r="AB28" s="13"/>
      <c r="AC28" s="13" t="s">
        <v>6</v>
      </c>
      <c r="AE28" s="15">
        <v>0</v>
      </c>
      <c r="AF28" s="15">
        <v>0</v>
      </c>
      <c r="AG28" s="15">
        <v>0.15</v>
      </c>
      <c r="AH28" s="13"/>
      <c r="AI28" s="2">
        <f t="shared" si="4"/>
        <v>0.13594616805549747</v>
      </c>
      <c r="AJ28" s="2">
        <f t="shared" si="5"/>
        <v>-8.8225641013208594E-3</v>
      </c>
    </row>
    <row r="29" spans="2:38" x14ac:dyDescent="0.2">
      <c r="C29" s="12"/>
      <c r="D29" s="13"/>
      <c r="E29" s="13"/>
      <c r="F29" s="13"/>
      <c r="G29" s="13"/>
      <c r="H29" s="4"/>
      <c r="I29" s="4"/>
      <c r="J29" s="13"/>
      <c r="L29" s="12"/>
      <c r="M29" s="1"/>
      <c r="N29" s="1"/>
      <c r="O29" s="1"/>
      <c r="P29" s="1"/>
      <c r="Q29" s="2"/>
      <c r="R29" s="2"/>
      <c r="S29" s="2"/>
      <c r="T29" s="7" t="s">
        <v>77</v>
      </c>
      <c r="U29" s="12" t="s">
        <v>10</v>
      </c>
      <c r="V29" s="3">
        <f>0+1.2/9*3</f>
        <v>0.4</v>
      </c>
      <c r="W29" s="3">
        <v>0.6</v>
      </c>
      <c r="X29" s="3">
        <v>0.66666666666666663</v>
      </c>
      <c r="Y29" s="3"/>
      <c r="Z29" s="2">
        <f t="shared" si="0"/>
        <v>0.77325249605404645</v>
      </c>
      <c r="AA29" s="2">
        <f t="shared" si="1"/>
        <v>0.60540291129752966</v>
      </c>
      <c r="AB29" s="13"/>
      <c r="AC29" s="13" t="s">
        <v>47</v>
      </c>
      <c r="AE29" s="15">
        <v>0</v>
      </c>
      <c r="AF29" s="15">
        <f>-0.075*0.9</f>
        <v>-6.7500000000000004E-2</v>
      </c>
      <c r="AG29" s="15">
        <v>0.6</v>
      </c>
      <c r="AH29" s="13"/>
      <c r="AI29" s="2">
        <f t="shared" si="4"/>
        <v>0.5437846722219899</v>
      </c>
      <c r="AJ29" s="2">
        <f t="shared" si="5"/>
        <v>-0.10213335104533944</v>
      </c>
    </row>
    <row r="30" spans="2:38" x14ac:dyDescent="0.2">
      <c r="B30" s="7" t="s">
        <v>59</v>
      </c>
      <c r="C30" s="12" t="s">
        <v>10</v>
      </c>
      <c r="D30" s="5">
        <v>1.2</v>
      </c>
      <c r="E30" s="5">
        <v>0</v>
      </c>
      <c r="F30" s="5">
        <v>1</v>
      </c>
      <c r="G30" s="13"/>
      <c r="H30" s="4">
        <f>(D30*RMX_1)+(E30*RMY_1)+(F30*RMZ_1)</f>
        <v>1.4134497011254892</v>
      </c>
      <c r="I30" s="4">
        <f>(D30*RMX_2)+(E30*RMY_2)+(F30*RMZ_2)</f>
        <v>9.2543304166568474E-2</v>
      </c>
      <c r="J30" s="13"/>
      <c r="K30" s="7" t="s">
        <v>20</v>
      </c>
      <c r="L30" s="12" t="s">
        <v>10</v>
      </c>
      <c r="M30" s="3">
        <v>0</v>
      </c>
      <c r="N30" s="1">
        <f>(2/3)*0.9</f>
        <v>0.6</v>
      </c>
      <c r="O30" s="3">
        <f>1/3</f>
        <v>0.33333333333333331</v>
      </c>
      <c r="P30" s="3"/>
      <c r="Q30" s="2">
        <f>(M30*RMX_1)+(N30*RMY_1)+(O30*RMZ_1)</f>
        <v>0.30210259567888331</v>
      </c>
      <c r="R30" s="2">
        <f>(M30*RMX_2)+(N30*RMY_2)+(O30*RMZ_2)</f>
        <v>0.57455514324200696</v>
      </c>
      <c r="S30" s="2"/>
      <c r="U30" s="12" t="s">
        <v>41</v>
      </c>
      <c r="V30" s="3">
        <f>0+1.2/9*3</f>
        <v>0.4</v>
      </c>
      <c r="W30" s="3">
        <v>0.6</v>
      </c>
      <c r="X30" s="3">
        <v>1</v>
      </c>
      <c r="Y30" s="3"/>
      <c r="Z30" s="2">
        <f t="shared" si="0"/>
        <v>1.0753550917329298</v>
      </c>
      <c r="AA30" s="2">
        <f t="shared" si="1"/>
        <v>0.58579721329459444</v>
      </c>
      <c r="AB30" s="13"/>
      <c r="AC30" s="13" t="s">
        <v>97</v>
      </c>
      <c r="AE30" s="15">
        <v>0</v>
      </c>
      <c r="AF30" s="15">
        <v>0</v>
      </c>
      <c r="AG30" s="15">
        <v>0.5</v>
      </c>
      <c r="AH30" s="13"/>
      <c r="AI30" s="2">
        <f t="shared" si="4"/>
        <v>0.45315389351832497</v>
      </c>
      <c r="AJ30" s="2">
        <f t="shared" si="5"/>
        <v>-2.9408547004402864E-2</v>
      </c>
    </row>
    <row r="31" spans="2:38" x14ac:dyDescent="0.2">
      <c r="C31" s="12" t="s">
        <v>41</v>
      </c>
      <c r="D31" s="5">
        <v>1.2</v>
      </c>
      <c r="E31" s="5">
        <v>0.9</v>
      </c>
      <c r="F31" s="5">
        <v>1</v>
      </c>
      <c r="G31" s="13"/>
      <c r="H31" s="4">
        <f>(D31*RMX_1)+(E31*RMY_1)+(F31*RMZ_1)</f>
        <v>1.4134497011254892</v>
      </c>
      <c r="I31" s="4">
        <f>(D31*RMX_2)+(E31*RMY_2)+(F31*RMZ_2)</f>
        <v>0.9837845660339819</v>
      </c>
      <c r="J31" s="13"/>
      <c r="L31" s="12" t="s">
        <v>41</v>
      </c>
      <c r="M31" s="3">
        <v>1.2</v>
      </c>
      <c r="N31" s="1">
        <f>(2/3)*0.9</f>
        <v>0.6</v>
      </c>
      <c r="O31" s="3">
        <f>1/3</f>
        <v>0.33333333333333331</v>
      </c>
      <c r="P31" s="3"/>
      <c r="Q31" s="2">
        <f>(M31*RMX_1)+(N31*RMY_1)+(O31*RMZ_1)</f>
        <v>0.80924450976772266</v>
      </c>
      <c r="R31" s="2">
        <f>(M31*RMX_2)+(N31*RMY_2)+(O31*RMZ_2)</f>
        <v>0.72591554141738113</v>
      </c>
      <c r="S31" s="2"/>
      <c r="T31" s="7" t="s">
        <v>78</v>
      </c>
      <c r="U31" s="12" t="s">
        <v>10</v>
      </c>
      <c r="V31" s="3">
        <f>0+1.2/9*4</f>
        <v>0.53333333333333333</v>
      </c>
      <c r="W31" s="3">
        <v>0.6</v>
      </c>
      <c r="X31" s="3">
        <v>0.66666666666666663</v>
      </c>
      <c r="Y31" s="3"/>
      <c r="Z31" s="2">
        <f t="shared" si="0"/>
        <v>0.82960159761947305</v>
      </c>
      <c r="AA31" s="2">
        <f t="shared" si="1"/>
        <v>0.62222073331701577</v>
      </c>
      <c r="AB31" s="13"/>
      <c r="AC31" s="13" t="s">
        <v>98</v>
      </c>
      <c r="AE31" s="15">
        <v>0</v>
      </c>
      <c r="AF31" s="15">
        <v>0</v>
      </c>
      <c r="AG31" s="15">
        <v>0.8</v>
      </c>
      <c r="AH31" s="13"/>
      <c r="AI31" s="2">
        <f t="shared" si="4"/>
        <v>0.72504622962931997</v>
      </c>
      <c r="AJ31" s="2">
        <f t="shared" si="5"/>
        <v>-4.7053675207044586E-2</v>
      </c>
    </row>
    <row r="32" spans="2:38" x14ac:dyDescent="0.2">
      <c r="C32" s="12"/>
      <c r="D32" s="13"/>
      <c r="E32" s="13"/>
      <c r="F32" s="13"/>
      <c r="G32" s="13"/>
      <c r="H32" s="4"/>
      <c r="I32" s="4"/>
      <c r="J32" s="13"/>
      <c r="L32" s="12"/>
      <c r="M32" s="1"/>
      <c r="N32" s="1"/>
      <c r="O32" s="1"/>
      <c r="P32" s="1"/>
      <c r="Q32" s="2"/>
      <c r="R32" s="2"/>
      <c r="S32" s="2"/>
      <c r="U32" s="12" t="s">
        <v>41</v>
      </c>
      <c r="V32" s="3">
        <f>0+1.2/9*4</f>
        <v>0.53333333333333333</v>
      </c>
      <c r="W32" s="3">
        <v>0.6</v>
      </c>
      <c r="X32" s="3">
        <v>1</v>
      </c>
      <c r="Y32" s="3"/>
      <c r="Z32" s="2">
        <f t="shared" si="0"/>
        <v>1.1317041932983563</v>
      </c>
      <c r="AA32" s="2">
        <f t="shared" si="1"/>
        <v>0.60261503531408045</v>
      </c>
      <c r="AB32" s="13"/>
      <c r="AC32" s="13" t="s">
        <v>7</v>
      </c>
      <c r="AE32" s="15">
        <v>0.45</v>
      </c>
      <c r="AF32" s="15">
        <v>0</v>
      </c>
      <c r="AG32" s="15">
        <v>1.05</v>
      </c>
      <c r="AH32" s="13"/>
      <c r="AI32" s="2">
        <f t="shared" si="4"/>
        <v>1.1418013941717973</v>
      </c>
      <c r="AJ32" s="2">
        <f t="shared" si="5"/>
        <v>-4.9977993934806966E-3</v>
      </c>
    </row>
    <row r="33" spans="1:36" x14ac:dyDescent="0.2">
      <c r="B33" s="7" t="s">
        <v>60</v>
      </c>
      <c r="C33" s="12" t="s">
        <v>10</v>
      </c>
      <c r="D33" s="5">
        <v>1.2</v>
      </c>
      <c r="E33" s="5">
        <v>0</v>
      </c>
      <c r="F33" s="5">
        <v>0</v>
      </c>
      <c r="G33" s="13"/>
      <c r="H33" s="4">
        <f>(D33*RMX_1)+(E33*RMY_1)+(F33*RMZ_1)</f>
        <v>0.50714191408883935</v>
      </c>
      <c r="I33" s="4">
        <f>(D33*RMX_2)+(E33*RMY_2)+(F33*RMZ_2)</f>
        <v>0.15136039817537419</v>
      </c>
      <c r="J33" s="13"/>
      <c r="K33" s="7" t="s">
        <v>21</v>
      </c>
      <c r="L33" s="12" t="s">
        <v>10</v>
      </c>
      <c r="M33" s="14">
        <v>0</v>
      </c>
      <c r="N33" s="1">
        <f>(1/3)*0.9</f>
        <v>0.3</v>
      </c>
      <c r="O33" s="3">
        <v>0</v>
      </c>
      <c r="P33" s="3"/>
      <c r="Q33" s="2">
        <f>(M33*RMX_1)+(N33*RMY_1)+(O33*RMZ_1)</f>
        <v>0</v>
      </c>
      <c r="R33" s="2">
        <f>(M33*RMX_2)+(N33*RMY_2)+(O33*RMZ_2)</f>
        <v>0.29708042062247109</v>
      </c>
      <c r="S33" s="2"/>
      <c r="T33" s="7" t="s">
        <v>79</v>
      </c>
      <c r="U33" s="12" t="s">
        <v>10</v>
      </c>
      <c r="V33" s="3">
        <f>0+1.2/9*5</f>
        <v>0.66666666666666663</v>
      </c>
      <c r="W33" s="3">
        <v>0.6</v>
      </c>
      <c r="X33" s="3">
        <v>0.66666666666666663</v>
      </c>
      <c r="Y33" s="3"/>
      <c r="Z33" s="2">
        <f t="shared" si="0"/>
        <v>0.88595069918489955</v>
      </c>
      <c r="AA33" s="2">
        <f t="shared" si="1"/>
        <v>0.63903855533650189</v>
      </c>
      <c r="AB33" s="13"/>
      <c r="AC33" s="13" t="s">
        <v>8</v>
      </c>
      <c r="AE33" s="15">
        <v>0.8</v>
      </c>
      <c r="AF33" s="15">
        <v>0</v>
      </c>
      <c r="AG33" s="15">
        <v>1.1000000000000001</v>
      </c>
      <c r="AH33" s="13"/>
      <c r="AI33" s="2">
        <f t="shared" si="4"/>
        <v>1.3350331751328746</v>
      </c>
      <c r="AJ33" s="2">
        <f t="shared" si="5"/>
        <v>3.6208128707229822E-2</v>
      </c>
    </row>
    <row r="34" spans="1:36" x14ac:dyDescent="0.2">
      <c r="C34" s="12" t="s">
        <v>41</v>
      </c>
      <c r="D34" s="5">
        <v>1.2</v>
      </c>
      <c r="E34" s="5">
        <v>0.9</v>
      </c>
      <c r="F34" s="5">
        <v>0</v>
      </c>
      <c r="G34" s="13"/>
      <c r="H34" s="4">
        <f>(D34*RMX_1)+(E34*RMY_1)+(F34*RMZ_1)</f>
        <v>0.50714191408883935</v>
      </c>
      <c r="I34" s="4">
        <f>(D34*RMX_2)+(E34*RMY_2)+(F34*RMZ_2)</f>
        <v>1.0426016600427876</v>
      </c>
      <c r="J34" s="13"/>
      <c r="L34" s="12" t="s">
        <v>41</v>
      </c>
      <c r="M34" s="3">
        <v>1.2</v>
      </c>
      <c r="N34" s="1">
        <f>(1/3)*0.9</f>
        <v>0.3</v>
      </c>
      <c r="O34" s="3">
        <v>0</v>
      </c>
      <c r="P34" s="3"/>
      <c r="Q34" s="2">
        <f>(M34*RMX_1)+(N34*RMY_1)+(O34*RMZ_1)</f>
        <v>0.50714191408883935</v>
      </c>
      <c r="R34" s="2">
        <f>(M34*RMX_2)+(N34*RMY_2)+(O34*RMZ_2)</f>
        <v>0.44844081879784525</v>
      </c>
      <c r="S34" s="2"/>
      <c r="U34" s="12" t="s">
        <v>41</v>
      </c>
      <c r="V34" s="3">
        <f>0+1.2/9*5</f>
        <v>0.66666666666666663</v>
      </c>
      <c r="W34" s="3">
        <v>0.6</v>
      </c>
      <c r="X34" s="3">
        <v>1</v>
      </c>
      <c r="Y34" s="3"/>
      <c r="Z34" s="2">
        <f t="shared" si="0"/>
        <v>1.1880532948637827</v>
      </c>
      <c r="AA34" s="2">
        <f t="shared" si="1"/>
        <v>0.61943285733356657</v>
      </c>
      <c r="AB34" s="13"/>
      <c r="AC34" s="13" t="s">
        <v>99</v>
      </c>
      <c r="AE34" s="15">
        <v>1.2</v>
      </c>
      <c r="AF34" s="15">
        <v>0</v>
      </c>
      <c r="AG34" s="15">
        <v>1.1000000000000001</v>
      </c>
      <c r="AH34" s="13"/>
      <c r="AI34" s="2">
        <f t="shared" si="4"/>
        <v>1.5040804798291543</v>
      </c>
      <c r="AJ34" s="2">
        <f t="shared" si="5"/>
        <v>8.6661594765687883E-2</v>
      </c>
    </row>
    <row r="35" spans="1:36" x14ac:dyDescent="0.2">
      <c r="C35" s="1"/>
      <c r="F35" s="5"/>
      <c r="H35" s="4"/>
      <c r="I35" s="4"/>
      <c r="L35" s="1"/>
      <c r="M35" s="1"/>
      <c r="N35" s="1"/>
      <c r="O35" s="1"/>
      <c r="P35" s="1"/>
      <c r="T35" s="7" t="s">
        <v>80</v>
      </c>
      <c r="U35" s="12" t="s">
        <v>10</v>
      </c>
      <c r="V35" s="3">
        <f>0+1.2/9*6</f>
        <v>0.8</v>
      </c>
      <c r="W35" s="3">
        <v>0.6</v>
      </c>
      <c r="X35" s="3">
        <v>0.66666666666666663</v>
      </c>
      <c r="Y35" s="3"/>
      <c r="Z35" s="2">
        <f t="shared" ref="Z35:Z52" si="6">(V35*RMX_1)+(W35*RMY_1)+(X35*RMZ_1)</f>
        <v>0.94229980075032627</v>
      </c>
      <c r="AA35" s="2">
        <f t="shared" ref="AA35:AA52" si="7">(V35*RMX_2)+(W35*RMY_2)+(X35*RMZ_2)</f>
        <v>0.65585637735598779</v>
      </c>
    </row>
    <row r="36" spans="1:36" x14ac:dyDescent="0.2">
      <c r="B36" s="7" t="s">
        <v>61</v>
      </c>
      <c r="C36" s="12" t="s">
        <v>10</v>
      </c>
      <c r="D36" s="5">
        <v>0</v>
      </c>
      <c r="E36" s="5">
        <v>0</v>
      </c>
      <c r="F36" s="5">
        <v>0</v>
      </c>
      <c r="G36" s="13"/>
      <c r="H36" s="4">
        <f>(D36*RMX_1)+(E36*RMY_1)+(F36*RMZ_1)</f>
        <v>0</v>
      </c>
      <c r="I36" s="4">
        <f>(D36*RMX_2)+(E36*RMY_2)+(F36*RMZ_2)</f>
        <v>0</v>
      </c>
      <c r="J36" s="13"/>
      <c r="K36" s="7" t="s">
        <v>22</v>
      </c>
      <c r="L36" s="12" t="s">
        <v>10</v>
      </c>
      <c r="M36" s="3">
        <v>1.2</v>
      </c>
      <c r="N36" s="1">
        <f>(1/3)*0.9</f>
        <v>0.3</v>
      </c>
      <c r="O36" s="3">
        <v>1</v>
      </c>
      <c r="P36" s="3"/>
      <c r="Q36" s="2">
        <f>(M36*RMX_1)+(N36*RMY_1)+(O36*RMZ_1)</f>
        <v>1.4134497011254892</v>
      </c>
      <c r="R36" s="2">
        <f>(M36*RMX_2)+(N36*RMY_2)+(O36*RMZ_2)</f>
        <v>0.38962372478903951</v>
      </c>
      <c r="S36" s="7"/>
      <c r="U36" s="12" t="s">
        <v>41</v>
      </c>
      <c r="V36" s="3">
        <f>0+1.2/9*6</f>
        <v>0.8</v>
      </c>
      <c r="W36" s="3">
        <v>0.6</v>
      </c>
      <c r="X36" s="3">
        <v>1</v>
      </c>
      <c r="Y36" s="3"/>
      <c r="Z36" s="2">
        <f t="shared" si="6"/>
        <v>1.2444023964292095</v>
      </c>
      <c r="AA36" s="2">
        <f t="shared" si="7"/>
        <v>0.63625067935305257</v>
      </c>
      <c r="AB36" s="13"/>
    </row>
    <row r="37" spans="1:36" x14ac:dyDescent="0.2">
      <c r="C37" s="12" t="s">
        <v>41</v>
      </c>
      <c r="D37" s="5">
        <v>0</v>
      </c>
      <c r="E37" s="5">
        <v>0.9</v>
      </c>
      <c r="F37" s="5">
        <v>0</v>
      </c>
      <c r="G37" s="13"/>
      <c r="H37" s="4">
        <f>(D37*RMX_1)+(E37*RMY_1)+(F37*RMZ_1)</f>
        <v>0</v>
      </c>
      <c r="I37" s="4">
        <f>(D37*RMX_2)+(E37*RMY_2)+(F37*RMZ_2)</f>
        <v>0.89124126186741337</v>
      </c>
      <c r="J37" s="13"/>
      <c r="L37" s="12" t="s">
        <v>41</v>
      </c>
      <c r="M37" s="3">
        <v>1.2</v>
      </c>
      <c r="N37" s="1">
        <f>(1/3)*0.9</f>
        <v>0.3</v>
      </c>
      <c r="O37" s="3">
        <v>0</v>
      </c>
      <c r="P37" s="3"/>
      <c r="Q37" s="2">
        <f>(M37*RMX_1)+(N37*RMY_1)+(O37*RMZ_1)</f>
        <v>0.50714191408883935</v>
      </c>
      <c r="R37" s="2">
        <f>(M37*RMX_2)+(N37*RMY_2)+(O37*RMZ_2)</f>
        <v>0.44844081879784525</v>
      </c>
      <c r="S37" s="4"/>
      <c r="T37" s="7" t="s">
        <v>81</v>
      </c>
      <c r="U37" s="12" t="s">
        <v>10</v>
      </c>
      <c r="V37" s="3">
        <f>0+1.2/9*7</f>
        <v>0.93333333333333335</v>
      </c>
      <c r="W37" s="3">
        <v>0.6</v>
      </c>
      <c r="X37" s="3">
        <v>0.66666666666666663</v>
      </c>
      <c r="Y37" s="3"/>
      <c r="Z37" s="2">
        <f t="shared" si="6"/>
        <v>0.99864890231575276</v>
      </c>
      <c r="AA37" s="2">
        <f t="shared" si="7"/>
        <v>0.6726741993754739</v>
      </c>
      <c r="AB37" s="13"/>
    </row>
    <row r="38" spans="1:36" x14ac:dyDescent="0.2">
      <c r="C38" s="1"/>
      <c r="L38" s="1"/>
      <c r="M38" s="1"/>
      <c r="N38" s="1"/>
      <c r="O38" s="1"/>
      <c r="P38" s="1"/>
      <c r="Q38" s="3"/>
      <c r="R38" s="3"/>
      <c r="S38" s="4"/>
      <c r="U38" s="12" t="s">
        <v>41</v>
      </c>
      <c r="V38" s="3">
        <f>0+1.2/9*7</f>
        <v>0.93333333333333335</v>
      </c>
      <c r="W38" s="3">
        <v>0.6</v>
      </c>
      <c r="X38" s="3">
        <v>1</v>
      </c>
      <c r="Y38" s="3"/>
      <c r="Z38" s="2">
        <f t="shared" si="6"/>
        <v>1.3007514979946362</v>
      </c>
      <c r="AA38" s="2">
        <f t="shared" si="7"/>
        <v>0.65306850137253858</v>
      </c>
    </row>
    <row r="39" spans="1:36" x14ac:dyDescent="0.2">
      <c r="J39" s="13"/>
      <c r="K39" s="7" t="s">
        <v>23</v>
      </c>
      <c r="L39" s="12" t="s">
        <v>10</v>
      </c>
      <c r="M39" s="3">
        <v>0</v>
      </c>
      <c r="N39" s="1">
        <f>(1/3)*0.9</f>
        <v>0.3</v>
      </c>
      <c r="O39" s="3">
        <f>1/3</f>
        <v>0.33333333333333331</v>
      </c>
      <c r="P39" s="3"/>
      <c r="Q39" s="2">
        <f>(M39*RMX_1)+(N39*RMY_1)+(O39*RMZ_1)</f>
        <v>0.30210259567888331</v>
      </c>
      <c r="R39" s="2">
        <f>(M39*RMX_2)+(N39*RMY_2)+(O39*RMZ_2)</f>
        <v>0.27747472261953587</v>
      </c>
      <c r="S39" s="4"/>
      <c r="T39" s="7" t="s">
        <v>82</v>
      </c>
      <c r="U39" s="12" t="s">
        <v>10</v>
      </c>
      <c r="V39" s="3">
        <f>0+1.2/9*8</f>
        <v>1.0666666666666667</v>
      </c>
      <c r="W39" s="3">
        <v>0.6</v>
      </c>
      <c r="X39" s="3">
        <v>0.66666666666666663</v>
      </c>
      <c r="Y39" s="3"/>
      <c r="Z39" s="2">
        <f t="shared" si="6"/>
        <v>1.0549980038811793</v>
      </c>
      <c r="AA39" s="2">
        <f t="shared" si="7"/>
        <v>0.6894920213949598</v>
      </c>
      <c r="AB39" s="13"/>
    </row>
    <row r="40" spans="1:36" x14ac:dyDescent="0.2">
      <c r="J40" s="13"/>
      <c r="L40" s="12" t="s">
        <v>41</v>
      </c>
      <c r="M40" s="3">
        <v>1.2</v>
      </c>
      <c r="N40" s="1">
        <f>(1/3)*0.9</f>
        <v>0.3</v>
      </c>
      <c r="O40" s="3">
        <f>1/3</f>
        <v>0.33333333333333331</v>
      </c>
      <c r="P40" s="3"/>
      <c r="Q40" s="2">
        <f>(M40*RMX_1)+(N40*RMY_1)+(O40*RMZ_1)</f>
        <v>0.80924450976772266</v>
      </c>
      <c r="R40" s="2">
        <f>(M40*RMX_2)+(N40*RMY_2)+(O40*RMZ_2)</f>
        <v>0.42883512079491004</v>
      </c>
      <c r="S40" s="4"/>
      <c r="U40" s="12" t="s">
        <v>41</v>
      </c>
      <c r="V40" s="3">
        <f>0+1.2/9*8</f>
        <v>1.0666666666666667</v>
      </c>
      <c r="W40" s="3">
        <v>0.6</v>
      </c>
      <c r="X40" s="3">
        <v>1</v>
      </c>
      <c r="Y40" s="3"/>
      <c r="Z40" s="2">
        <f t="shared" si="6"/>
        <v>1.3571005995600627</v>
      </c>
      <c r="AA40" s="2">
        <f t="shared" si="7"/>
        <v>0.66988632339202459</v>
      </c>
      <c r="AB40" s="13"/>
    </row>
    <row r="41" spans="1:36" x14ac:dyDescent="0.2">
      <c r="L41" s="1"/>
      <c r="M41" s="1"/>
      <c r="N41" s="1"/>
      <c r="O41" s="1"/>
      <c r="P41" s="1"/>
      <c r="Q41" s="3"/>
      <c r="R41" s="3"/>
      <c r="S41" s="4"/>
      <c r="T41" s="7" t="s">
        <v>83</v>
      </c>
      <c r="U41" s="12" t="s">
        <v>10</v>
      </c>
      <c r="V41" s="3">
        <f>0+1.2/9*9</f>
        <v>1.2</v>
      </c>
      <c r="W41" s="3">
        <v>0.6</v>
      </c>
      <c r="X41" s="3">
        <v>0.66666666666666663</v>
      </c>
      <c r="Y41" s="3"/>
      <c r="Z41" s="2">
        <f t="shared" si="6"/>
        <v>1.111347105446606</v>
      </c>
      <c r="AA41" s="2">
        <f t="shared" si="7"/>
        <v>0.70630984341444591</v>
      </c>
    </row>
    <row r="42" spans="1:36" x14ac:dyDescent="0.2">
      <c r="A42" s="28" t="s">
        <v>100</v>
      </c>
      <c r="J42" s="13"/>
      <c r="K42" s="7" t="s">
        <v>24</v>
      </c>
      <c r="L42" s="12" t="s">
        <v>10</v>
      </c>
      <c r="M42" s="3">
        <v>0</v>
      </c>
      <c r="N42" s="1">
        <f>(1/3)*0.9</f>
        <v>0.3</v>
      </c>
      <c r="O42" s="3">
        <f>2/3</f>
        <v>0.66666666666666663</v>
      </c>
      <c r="P42" s="3"/>
      <c r="Q42" s="2">
        <f>(M42*RMX_1)+(N42*RMY_1)+(O42*RMZ_1)</f>
        <v>0.60420519135776662</v>
      </c>
      <c r="R42" s="2">
        <f>(M42*RMX_2)+(N42*RMY_2)+(O42*RMZ_2)</f>
        <v>0.25786902461660061</v>
      </c>
      <c r="S42" s="4"/>
      <c r="U42" s="12" t="s">
        <v>41</v>
      </c>
      <c r="V42" s="3">
        <f>0+1.2/9*9</f>
        <v>1.2</v>
      </c>
      <c r="W42" s="3">
        <v>0.6</v>
      </c>
      <c r="X42" s="3">
        <v>1</v>
      </c>
      <c r="Y42" s="3"/>
      <c r="Z42" s="2">
        <f t="shared" si="6"/>
        <v>1.4134497011254892</v>
      </c>
      <c r="AA42" s="2">
        <f t="shared" si="7"/>
        <v>0.68670414541151059</v>
      </c>
      <c r="AB42" s="13"/>
    </row>
    <row r="43" spans="1:36" x14ac:dyDescent="0.2">
      <c r="A43" s="29">
        <v>39280</v>
      </c>
      <c r="J43" s="13"/>
      <c r="L43" s="12" t="s">
        <v>41</v>
      </c>
      <c r="M43" s="3">
        <v>1.2</v>
      </c>
      <c r="N43" s="1">
        <f>(1/3)*0.9</f>
        <v>0.3</v>
      </c>
      <c r="O43" s="3">
        <f>2/3</f>
        <v>0.66666666666666663</v>
      </c>
      <c r="P43" s="3"/>
      <c r="Q43" s="2">
        <f>(M43*RMX_1)+(N43*RMY_1)+(O43*RMZ_1)</f>
        <v>1.111347105446606</v>
      </c>
      <c r="R43" s="2">
        <f>(M43*RMX_2)+(N43*RMY_2)+(O43*RMZ_2)</f>
        <v>0.40922942279197477</v>
      </c>
      <c r="S43" s="4"/>
      <c r="T43" s="7" t="s">
        <v>84</v>
      </c>
      <c r="U43" s="12" t="s">
        <v>10</v>
      </c>
      <c r="V43" s="3">
        <v>0</v>
      </c>
      <c r="W43" s="3">
        <v>0.3</v>
      </c>
      <c r="X43" s="3">
        <f>2/3+1/3/9*0</f>
        <v>0.66666666666666663</v>
      </c>
      <c r="Y43" s="3"/>
      <c r="Z43" s="2">
        <f t="shared" si="6"/>
        <v>0.60420519135776662</v>
      </c>
      <c r="AA43" s="2">
        <f t="shared" si="7"/>
        <v>0.25786902461660061</v>
      </c>
      <c r="AB43" s="13"/>
    </row>
    <row r="44" spans="1:36" x14ac:dyDescent="0.2">
      <c r="A44" s="30" t="str">
        <f>HYPERLINK("http://www.wimgielis.be","Website")</f>
        <v>Website</v>
      </c>
      <c r="L44" s="1"/>
      <c r="M44" s="1"/>
      <c r="N44" s="1"/>
      <c r="O44" s="1"/>
      <c r="P44" s="1"/>
      <c r="S44" s="4"/>
      <c r="U44" s="12" t="s">
        <v>41</v>
      </c>
      <c r="V44" s="3">
        <v>0</v>
      </c>
      <c r="W44" s="3">
        <v>0.6</v>
      </c>
      <c r="X44" s="3">
        <f>2/3+1/3/9*0</f>
        <v>0.66666666666666663</v>
      </c>
      <c r="Y44" s="3"/>
      <c r="Z44" s="2">
        <f t="shared" si="6"/>
        <v>0.60420519135776662</v>
      </c>
      <c r="AA44" s="2">
        <f t="shared" si="7"/>
        <v>0.55494944523907175</v>
      </c>
    </row>
    <row r="45" spans="1:36" x14ac:dyDescent="0.2">
      <c r="J45" s="13"/>
      <c r="K45" s="7" t="s">
        <v>25</v>
      </c>
      <c r="L45" s="12" t="s">
        <v>10</v>
      </c>
      <c r="M45" s="3">
        <v>1.2</v>
      </c>
      <c r="N45" s="1">
        <f>(1/3)*0.9</f>
        <v>0.3</v>
      </c>
      <c r="O45" s="3">
        <f>1/3</f>
        <v>0.33333333333333331</v>
      </c>
      <c r="P45" s="3"/>
      <c r="Q45" s="2">
        <f>(M45*RMX_1)+(N45*RMY_1)+(O45*RMZ_1)</f>
        <v>0.80924450976772266</v>
      </c>
      <c r="R45" s="2">
        <f>(M45*RMX_2)+(N45*RMY_2)+(O45*RMZ_2)</f>
        <v>0.42883512079491004</v>
      </c>
      <c r="S45" s="4"/>
      <c r="T45" s="7" t="s">
        <v>85</v>
      </c>
      <c r="U45" s="12" t="s">
        <v>10</v>
      </c>
      <c r="V45" s="3">
        <v>0</v>
      </c>
      <c r="W45" s="3">
        <v>0.3</v>
      </c>
      <c r="X45" s="3">
        <f>2/3+1/3/9*1</f>
        <v>0.70370370370370372</v>
      </c>
      <c r="Y45" s="3"/>
      <c r="Z45" s="2">
        <f t="shared" si="6"/>
        <v>0.63777214643319813</v>
      </c>
      <c r="AA45" s="2">
        <f t="shared" si="7"/>
        <v>0.25569061372738555</v>
      </c>
      <c r="AB45" s="13"/>
    </row>
    <row r="46" spans="1:36" x14ac:dyDescent="0.2">
      <c r="J46" s="13"/>
      <c r="L46" s="12" t="s">
        <v>41</v>
      </c>
      <c r="M46" s="3">
        <v>1.2</v>
      </c>
      <c r="N46" s="1">
        <f>(2/3)*0.9</f>
        <v>0.6</v>
      </c>
      <c r="O46" s="3">
        <f>1/3</f>
        <v>0.33333333333333331</v>
      </c>
      <c r="P46" s="3"/>
      <c r="Q46" s="2">
        <f>(M46*RMX_1)+(N46*RMY_1)+(O46*RMZ_1)</f>
        <v>0.80924450976772266</v>
      </c>
      <c r="R46" s="2">
        <f>(M46*RMX_2)+(N46*RMY_2)+(O46*RMZ_2)</f>
        <v>0.72591554141738113</v>
      </c>
      <c r="S46" s="4"/>
      <c r="U46" s="12" t="s">
        <v>41</v>
      </c>
      <c r="V46" s="3">
        <v>0</v>
      </c>
      <c r="W46" s="3">
        <v>0.6</v>
      </c>
      <c r="X46" s="3">
        <f>2/3+1/3/9*1</f>
        <v>0.70370370370370372</v>
      </c>
      <c r="Y46" s="3"/>
      <c r="Z46" s="2">
        <f t="shared" si="6"/>
        <v>0.63777214643319813</v>
      </c>
      <c r="AA46" s="2">
        <f t="shared" si="7"/>
        <v>0.55277103434985664</v>
      </c>
      <c r="AB46" s="13"/>
    </row>
    <row r="47" spans="1:36" x14ac:dyDescent="0.2">
      <c r="L47" s="1"/>
      <c r="M47" s="1"/>
      <c r="N47" s="1"/>
      <c r="O47" s="1"/>
      <c r="P47" s="1"/>
      <c r="Q47" s="3"/>
      <c r="R47" s="3"/>
      <c r="S47" s="4"/>
      <c r="T47" s="7" t="s">
        <v>86</v>
      </c>
      <c r="U47" s="12" t="s">
        <v>10</v>
      </c>
      <c r="V47" s="3">
        <v>0</v>
      </c>
      <c r="W47" s="3">
        <v>0.3</v>
      </c>
      <c r="X47" s="3">
        <f>2/3+1/3/9*2</f>
        <v>0.7407407407407407</v>
      </c>
      <c r="Y47" s="3"/>
      <c r="Z47" s="2">
        <f t="shared" si="6"/>
        <v>0.67133910150862952</v>
      </c>
      <c r="AA47" s="2">
        <f t="shared" si="7"/>
        <v>0.25351220283817055</v>
      </c>
    </row>
    <row r="48" spans="1:36" x14ac:dyDescent="0.2">
      <c r="J48" s="13"/>
      <c r="K48" s="7" t="s">
        <v>26</v>
      </c>
      <c r="L48" s="12" t="s">
        <v>10</v>
      </c>
      <c r="M48" s="3">
        <v>1.2</v>
      </c>
      <c r="N48" s="1">
        <f>(1/3)*0.9</f>
        <v>0.3</v>
      </c>
      <c r="O48" s="3">
        <f>2/3</f>
        <v>0.66666666666666663</v>
      </c>
      <c r="P48" s="3"/>
      <c r="Q48" s="2">
        <f>(M48*RMX_1)+(N48*RMY_1)+(O48*RMZ_1)</f>
        <v>1.111347105446606</v>
      </c>
      <c r="R48" s="2">
        <f>(M48*RMX_2)+(N48*RMY_2)+(O48*RMZ_2)</f>
        <v>0.40922942279197477</v>
      </c>
      <c r="U48" s="12" t="s">
        <v>41</v>
      </c>
      <c r="V48" s="3">
        <v>0</v>
      </c>
      <c r="W48" s="3">
        <v>0.6</v>
      </c>
      <c r="X48" s="3">
        <f>2/3+1/3/9*2</f>
        <v>0.7407407407407407</v>
      </c>
      <c r="Y48" s="3"/>
      <c r="Z48" s="2">
        <f t="shared" si="6"/>
        <v>0.67133910150862952</v>
      </c>
      <c r="AA48" s="2">
        <f t="shared" si="7"/>
        <v>0.55059262346064164</v>
      </c>
      <c r="AB48" s="13"/>
    </row>
    <row r="49" spans="3:28" x14ac:dyDescent="0.2">
      <c r="J49" s="13"/>
      <c r="L49" s="12" t="s">
        <v>41</v>
      </c>
      <c r="M49" s="3">
        <v>1.2</v>
      </c>
      <c r="N49" s="1">
        <f>(2/3)*0.9</f>
        <v>0.6</v>
      </c>
      <c r="O49" s="3">
        <f>2/3</f>
        <v>0.66666666666666663</v>
      </c>
      <c r="P49" s="3"/>
      <c r="Q49" s="2">
        <f>(M49*RMX_1)+(N49*RMY_1)+(O49*RMZ_1)</f>
        <v>1.111347105446606</v>
      </c>
      <c r="R49" s="2">
        <f>(M49*RMX_2)+(N49*RMY_2)+(O49*RMZ_2)</f>
        <v>0.70630984341444591</v>
      </c>
      <c r="S49" s="4"/>
      <c r="T49" s="7" t="s">
        <v>87</v>
      </c>
      <c r="U49" s="12" t="s">
        <v>10</v>
      </c>
      <c r="V49" s="3">
        <v>0</v>
      </c>
      <c r="W49" s="3">
        <v>0.3</v>
      </c>
      <c r="X49" s="3">
        <f>2/3+1/3/9*3</f>
        <v>0.77777777777777768</v>
      </c>
      <c r="Y49" s="3"/>
      <c r="Z49" s="2">
        <f t="shared" si="6"/>
        <v>0.70490605658406102</v>
      </c>
      <c r="AA49" s="2">
        <f t="shared" si="7"/>
        <v>0.25133379194895555</v>
      </c>
      <c r="AB49" s="13"/>
    </row>
    <row r="50" spans="3:28" x14ac:dyDescent="0.2">
      <c r="L50" s="1"/>
      <c r="M50" s="1"/>
      <c r="N50" s="1"/>
      <c r="O50" s="1"/>
      <c r="P50" s="1"/>
      <c r="U50" s="12" t="s">
        <v>41</v>
      </c>
      <c r="V50" s="3">
        <v>0</v>
      </c>
      <c r="W50" s="3">
        <v>0.6</v>
      </c>
      <c r="X50" s="3">
        <f>2/3+1/3/9*3</f>
        <v>0.77777777777777768</v>
      </c>
      <c r="Y50" s="3"/>
      <c r="Z50" s="2">
        <f t="shared" si="6"/>
        <v>0.70490605658406102</v>
      </c>
      <c r="AA50" s="2">
        <f t="shared" si="7"/>
        <v>0.54841421257142664</v>
      </c>
    </row>
    <row r="51" spans="3:28" x14ac:dyDescent="0.2">
      <c r="C51" s="1"/>
      <c r="T51" s="7" t="s">
        <v>88</v>
      </c>
      <c r="U51" s="12" t="s">
        <v>10</v>
      </c>
      <c r="V51" s="3">
        <v>0</v>
      </c>
      <c r="W51" s="3">
        <v>0.3</v>
      </c>
      <c r="X51" s="3">
        <f>2/3+1/3/9*4</f>
        <v>0.81481481481481477</v>
      </c>
      <c r="Y51" s="3"/>
      <c r="Z51" s="2">
        <f t="shared" si="6"/>
        <v>0.73847301165949253</v>
      </c>
      <c r="AA51" s="2">
        <f t="shared" si="7"/>
        <v>0.2491553810597405</v>
      </c>
    </row>
    <row r="52" spans="3:28" x14ac:dyDescent="0.2">
      <c r="C52" s="1"/>
      <c r="U52" s="12" t="s">
        <v>41</v>
      </c>
      <c r="V52" s="3">
        <v>0</v>
      </c>
      <c r="W52" s="3">
        <v>0.6</v>
      </c>
      <c r="X52" s="3">
        <f>2/3+1/3/9*4</f>
        <v>0.81481481481481477</v>
      </c>
      <c r="Y52" s="3"/>
      <c r="Z52" s="2">
        <f t="shared" si="6"/>
        <v>0.73847301165949253</v>
      </c>
      <c r="AA52" s="2">
        <f t="shared" si="7"/>
        <v>0.54623580168221153</v>
      </c>
    </row>
    <row r="53" spans="3:28" x14ac:dyDescent="0.2">
      <c r="C53" s="1"/>
      <c r="T53" s="7" t="s">
        <v>89</v>
      </c>
      <c r="U53" s="12" t="s">
        <v>10</v>
      </c>
      <c r="V53" s="3">
        <v>0</v>
      </c>
      <c r="W53" s="3">
        <v>0.3</v>
      </c>
      <c r="X53" s="3">
        <f>2/3+1/3/9*5</f>
        <v>0.85185185185185186</v>
      </c>
      <c r="Y53" s="3"/>
      <c r="Z53" s="2">
        <f t="shared" ref="Z53:Z62" si="8">(V53*RMX_1)+(W53*RMY_1)+(X53*RMZ_1)</f>
        <v>0.77203996673492403</v>
      </c>
      <c r="AA53" s="2">
        <f t="shared" ref="AA53:AA62" si="9">(V53*RMX_2)+(W53*RMY_2)+(X53*RMZ_2)</f>
        <v>0.24697697017052547</v>
      </c>
    </row>
    <row r="54" spans="3:28" x14ac:dyDescent="0.2">
      <c r="C54" s="1"/>
      <c r="U54" s="12" t="s">
        <v>41</v>
      </c>
      <c r="V54" s="3">
        <v>0</v>
      </c>
      <c r="W54" s="3">
        <v>0.6</v>
      </c>
      <c r="X54" s="3">
        <f>2/3+1/3/9*5</f>
        <v>0.85185185185185186</v>
      </c>
      <c r="Y54" s="3"/>
      <c r="Z54" s="2">
        <f t="shared" si="8"/>
        <v>0.77203996673492403</v>
      </c>
      <c r="AA54" s="2">
        <f t="shared" si="9"/>
        <v>0.54405739079299653</v>
      </c>
    </row>
    <row r="55" spans="3:28" x14ac:dyDescent="0.2">
      <c r="C55" s="1"/>
      <c r="T55" s="7" t="s">
        <v>90</v>
      </c>
      <c r="U55" s="12" t="s">
        <v>10</v>
      </c>
      <c r="V55" s="3">
        <v>0</v>
      </c>
      <c r="W55" s="3">
        <v>0.3</v>
      </c>
      <c r="X55" s="3">
        <f>2/3+1/3/9*6</f>
        <v>0.88888888888888884</v>
      </c>
      <c r="Y55" s="3"/>
      <c r="Z55" s="2">
        <f t="shared" si="8"/>
        <v>0.80560692181035543</v>
      </c>
      <c r="AA55" s="2">
        <f t="shared" si="9"/>
        <v>0.24479855928131045</v>
      </c>
    </row>
    <row r="56" spans="3:28" x14ac:dyDescent="0.2">
      <c r="C56" s="1"/>
      <c r="U56" s="12" t="s">
        <v>41</v>
      </c>
      <c r="V56" s="3">
        <v>0</v>
      </c>
      <c r="W56" s="3">
        <v>0.6</v>
      </c>
      <c r="X56" s="3">
        <f>2/3+1/3/9*6</f>
        <v>0.88888888888888884</v>
      </c>
      <c r="Y56" s="3"/>
      <c r="Z56" s="2">
        <f t="shared" si="8"/>
        <v>0.80560692181035543</v>
      </c>
      <c r="AA56" s="2">
        <f t="shared" si="9"/>
        <v>0.54187897990378153</v>
      </c>
    </row>
    <row r="57" spans="3:28" x14ac:dyDescent="0.2">
      <c r="C57" s="1"/>
      <c r="T57" s="7" t="s">
        <v>91</v>
      </c>
      <c r="U57" s="12" t="s">
        <v>10</v>
      </c>
      <c r="V57" s="3">
        <v>0</v>
      </c>
      <c r="W57" s="3">
        <v>0.3</v>
      </c>
      <c r="X57" s="3">
        <f>2/3+1/3/9*7</f>
        <v>0.92592592592592582</v>
      </c>
      <c r="Y57" s="3"/>
      <c r="Z57" s="2">
        <f t="shared" si="8"/>
        <v>0.83917387688578693</v>
      </c>
      <c r="AA57" s="2">
        <f t="shared" si="9"/>
        <v>0.24262014839209542</v>
      </c>
    </row>
    <row r="58" spans="3:28" x14ac:dyDescent="0.2">
      <c r="C58" s="1"/>
      <c r="U58" s="12" t="s">
        <v>41</v>
      </c>
      <c r="V58" s="3">
        <v>0</v>
      </c>
      <c r="W58" s="3">
        <v>0.6</v>
      </c>
      <c r="X58" s="3">
        <f>2/3+1/3/9*7</f>
        <v>0.92592592592592582</v>
      </c>
      <c r="Y58" s="3"/>
      <c r="Z58" s="2">
        <f t="shared" si="8"/>
        <v>0.83917387688578693</v>
      </c>
      <c r="AA58" s="2">
        <f t="shared" si="9"/>
        <v>0.53970056901456653</v>
      </c>
    </row>
    <row r="59" spans="3:28" x14ac:dyDescent="0.2">
      <c r="C59" s="1"/>
      <c r="T59" s="7" t="s">
        <v>92</v>
      </c>
      <c r="U59" s="12" t="s">
        <v>10</v>
      </c>
      <c r="V59" s="3">
        <v>0</v>
      </c>
      <c r="W59" s="3">
        <v>0.3</v>
      </c>
      <c r="X59" s="3">
        <f>2/3+1/3/9*8</f>
        <v>0.96296296296296291</v>
      </c>
      <c r="Y59" s="3"/>
      <c r="Z59" s="2">
        <f t="shared" si="8"/>
        <v>0.87274083196121843</v>
      </c>
      <c r="AA59" s="2">
        <f t="shared" si="9"/>
        <v>0.24044173750288039</v>
      </c>
    </row>
    <row r="60" spans="3:28" x14ac:dyDescent="0.2">
      <c r="C60" s="1"/>
      <c r="U60" s="12" t="s">
        <v>41</v>
      </c>
      <c r="V60" s="3">
        <v>0</v>
      </c>
      <c r="W60" s="3">
        <v>0.6</v>
      </c>
      <c r="X60" s="3">
        <f>2/3+1/3/9*8</f>
        <v>0.96296296296296291</v>
      </c>
      <c r="Y60" s="3"/>
      <c r="Z60" s="2">
        <f t="shared" si="8"/>
        <v>0.87274083196121843</v>
      </c>
      <c r="AA60" s="2">
        <f t="shared" si="9"/>
        <v>0.53752215812535142</v>
      </c>
    </row>
    <row r="61" spans="3:28" x14ac:dyDescent="0.2">
      <c r="C61" s="1"/>
      <c r="T61" s="7" t="s">
        <v>93</v>
      </c>
      <c r="U61" s="12" t="s">
        <v>10</v>
      </c>
      <c r="V61" s="3">
        <v>0</v>
      </c>
      <c r="W61" s="3">
        <v>0.3</v>
      </c>
      <c r="X61" s="3">
        <f>2/3+1/3/9*9</f>
        <v>1</v>
      </c>
      <c r="Y61" s="3"/>
      <c r="Z61" s="2">
        <f t="shared" si="8"/>
        <v>0.90630778703664994</v>
      </c>
      <c r="AA61" s="2">
        <f t="shared" si="9"/>
        <v>0.23826332661366537</v>
      </c>
    </row>
    <row r="62" spans="3:28" x14ac:dyDescent="0.2">
      <c r="C62" s="1"/>
      <c r="U62" s="12" t="s">
        <v>41</v>
      </c>
      <c r="V62" s="3">
        <v>0</v>
      </c>
      <c r="W62" s="3">
        <v>0.6</v>
      </c>
      <c r="X62" s="3">
        <f>2/3+1/3/9*9</f>
        <v>1</v>
      </c>
      <c r="Y62" s="3"/>
      <c r="Z62" s="2">
        <f t="shared" si="8"/>
        <v>0.90630778703664994</v>
      </c>
      <c r="AA62" s="2">
        <f t="shared" si="9"/>
        <v>0.53534374723613642</v>
      </c>
    </row>
    <row r="63" spans="3:28" x14ac:dyDescent="0.2">
      <c r="C63" s="1"/>
    </row>
    <row r="64" spans="3:28" x14ac:dyDescent="0.2">
      <c r="C64" s="1"/>
    </row>
    <row r="65" spans="3:24" x14ac:dyDescent="0.2">
      <c r="C65" s="1"/>
    </row>
    <row r="66" spans="3:24" x14ac:dyDescent="0.2">
      <c r="C66" s="1"/>
    </row>
    <row r="67" spans="3:24" x14ac:dyDescent="0.2">
      <c r="C67" s="1"/>
    </row>
    <row r="68" spans="3:24" x14ac:dyDescent="0.2">
      <c r="C68" s="1"/>
    </row>
    <row r="69" spans="3:24" x14ac:dyDescent="0.2">
      <c r="C69" s="1"/>
    </row>
    <row r="70" spans="3:24" x14ac:dyDescent="0.2">
      <c r="C70" s="1"/>
    </row>
    <row r="71" spans="3:24" x14ac:dyDescent="0.2">
      <c r="C71" s="1"/>
    </row>
    <row r="72" spans="3:24" x14ac:dyDescent="0.2">
      <c r="C72" s="1"/>
      <c r="V72" s="3">
        <v>0</v>
      </c>
      <c r="W72" s="3">
        <f>0.3+0.3/6*1</f>
        <v>0.35</v>
      </c>
      <c r="X72" s="3">
        <f>2/3+1/18*1</f>
        <v>0.72222222222222221</v>
      </c>
    </row>
    <row r="73" spans="3:24" x14ac:dyDescent="0.2">
      <c r="C73" s="1"/>
      <c r="V73" s="3">
        <v>1.2</v>
      </c>
      <c r="W73" s="3">
        <f>0.3+0.3/6*1</f>
        <v>0.35</v>
      </c>
      <c r="X73" s="3">
        <f t="shared" ref="X73:X81" si="10">2/3+1/18*1</f>
        <v>0.72222222222222221</v>
      </c>
    </row>
    <row r="74" spans="3:24" x14ac:dyDescent="0.2">
      <c r="C74" s="1"/>
      <c r="V74" s="3">
        <v>0</v>
      </c>
      <c r="W74" s="3">
        <f>0.3+0.3/6*2</f>
        <v>0.39999999999999997</v>
      </c>
      <c r="X74" s="3">
        <f t="shared" si="10"/>
        <v>0.72222222222222221</v>
      </c>
    </row>
    <row r="75" spans="3:24" x14ac:dyDescent="0.2">
      <c r="C75" s="1"/>
      <c r="V75" s="3">
        <v>1.2</v>
      </c>
      <c r="W75" s="3">
        <f>0.3+0.3/6*2</f>
        <v>0.39999999999999997</v>
      </c>
      <c r="X75" s="3">
        <f t="shared" si="10"/>
        <v>0.72222222222222221</v>
      </c>
    </row>
    <row r="76" spans="3:24" x14ac:dyDescent="0.2">
      <c r="C76" s="1"/>
      <c r="V76" s="3">
        <v>0</v>
      </c>
      <c r="W76" s="3">
        <f>0.3+0.3/6*3</f>
        <v>0.44999999999999996</v>
      </c>
      <c r="X76" s="3">
        <f t="shared" si="10"/>
        <v>0.72222222222222221</v>
      </c>
    </row>
    <row r="77" spans="3:24" x14ac:dyDescent="0.2">
      <c r="V77" s="3">
        <v>1.2</v>
      </c>
      <c r="W77" s="3">
        <f>0.3+0.3/6*3</f>
        <v>0.44999999999999996</v>
      </c>
      <c r="X77" s="3">
        <f t="shared" si="10"/>
        <v>0.72222222222222221</v>
      </c>
    </row>
    <row r="78" spans="3:24" x14ac:dyDescent="0.2">
      <c r="V78" s="3">
        <v>0</v>
      </c>
      <c r="W78" s="3">
        <f>0.3+0.3/6*4</f>
        <v>0.5</v>
      </c>
      <c r="X78" s="3">
        <f t="shared" si="10"/>
        <v>0.72222222222222221</v>
      </c>
    </row>
    <row r="79" spans="3:24" x14ac:dyDescent="0.2">
      <c r="V79" s="3">
        <v>1.2</v>
      </c>
      <c r="W79" s="3">
        <f>0.3+0.3/6*4</f>
        <v>0.5</v>
      </c>
      <c r="X79" s="3">
        <f t="shared" si="10"/>
        <v>0.72222222222222221</v>
      </c>
    </row>
    <row r="80" spans="3:24" x14ac:dyDescent="0.2">
      <c r="V80" s="3">
        <v>0</v>
      </c>
      <c r="W80" s="3">
        <f>0.3+0.3/6*5</f>
        <v>0.54999999999999993</v>
      </c>
      <c r="X80" s="3">
        <f t="shared" si="10"/>
        <v>0.72222222222222221</v>
      </c>
    </row>
    <row r="81" spans="22:24" x14ac:dyDescent="0.2">
      <c r="V81" s="3">
        <v>1.2</v>
      </c>
      <c r="W81" s="3">
        <f>0.3+0.3/6*5</f>
        <v>0.54999999999999993</v>
      </c>
      <c r="X81" s="3">
        <f t="shared" si="10"/>
        <v>0.72222222222222221</v>
      </c>
    </row>
    <row r="82" spans="22:24" x14ac:dyDescent="0.2">
      <c r="V82" s="3">
        <v>0</v>
      </c>
      <c r="W82" s="3">
        <f>0.3+0.3/6*1</f>
        <v>0.35</v>
      </c>
      <c r="X82" s="3">
        <f>2/3+1/18*2</f>
        <v>0.77777777777777768</v>
      </c>
    </row>
    <row r="83" spans="22:24" x14ac:dyDescent="0.2">
      <c r="V83" s="3">
        <v>1.2</v>
      </c>
      <c r="W83" s="3">
        <f>0.3+0.3/6*1</f>
        <v>0.35</v>
      </c>
      <c r="X83" s="3">
        <f t="shared" ref="X83:X91" si="11">2/3+1/18*2</f>
        <v>0.77777777777777768</v>
      </c>
    </row>
    <row r="84" spans="22:24" x14ac:dyDescent="0.2">
      <c r="V84" s="3">
        <v>0</v>
      </c>
      <c r="W84" s="3">
        <f>0.3+0.3/6*2</f>
        <v>0.39999999999999997</v>
      </c>
      <c r="X84" s="3">
        <f t="shared" si="11"/>
        <v>0.77777777777777768</v>
      </c>
    </row>
    <row r="85" spans="22:24" x14ac:dyDescent="0.2">
      <c r="V85" s="3">
        <v>1.2</v>
      </c>
      <c r="W85" s="3">
        <f>0.3+0.3/6*2</f>
        <v>0.39999999999999997</v>
      </c>
      <c r="X85" s="3">
        <f t="shared" si="11"/>
        <v>0.77777777777777768</v>
      </c>
    </row>
    <row r="86" spans="22:24" x14ac:dyDescent="0.2">
      <c r="V86" s="3">
        <v>0</v>
      </c>
      <c r="W86" s="3">
        <f>0.3+0.3/6*3</f>
        <v>0.44999999999999996</v>
      </c>
      <c r="X86" s="3">
        <f t="shared" si="11"/>
        <v>0.77777777777777768</v>
      </c>
    </row>
    <row r="87" spans="22:24" x14ac:dyDescent="0.2">
      <c r="V87" s="3">
        <v>1.2</v>
      </c>
      <c r="W87" s="3">
        <f>0.3+0.3/6*3</f>
        <v>0.44999999999999996</v>
      </c>
      <c r="X87" s="3">
        <f t="shared" si="11"/>
        <v>0.77777777777777768</v>
      </c>
    </row>
    <row r="88" spans="22:24" x14ac:dyDescent="0.2">
      <c r="V88" s="3">
        <v>0</v>
      </c>
      <c r="W88" s="3">
        <f>0.3+0.3/6*4</f>
        <v>0.5</v>
      </c>
      <c r="X88" s="3">
        <f t="shared" si="11"/>
        <v>0.77777777777777768</v>
      </c>
    </row>
    <row r="89" spans="22:24" x14ac:dyDescent="0.2">
      <c r="V89" s="3">
        <v>1.2</v>
      </c>
      <c r="W89" s="3">
        <f>0.3+0.3/6*4</f>
        <v>0.5</v>
      </c>
      <c r="X89" s="3">
        <f t="shared" si="11"/>
        <v>0.77777777777777768</v>
      </c>
    </row>
    <row r="90" spans="22:24" x14ac:dyDescent="0.2">
      <c r="V90" s="3">
        <v>0</v>
      </c>
      <c r="W90" s="3">
        <f>0.3+0.3/6*5</f>
        <v>0.54999999999999993</v>
      </c>
      <c r="X90" s="3">
        <f t="shared" si="11"/>
        <v>0.77777777777777768</v>
      </c>
    </row>
    <row r="91" spans="22:24" x14ac:dyDescent="0.2">
      <c r="V91" s="3">
        <v>1.2</v>
      </c>
      <c r="W91" s="3">
        <f>0.3+0.3/6*5</f>
        <v>0.54999999999999993</v>
      </c>
      <c r="X91" s="3">
        <f t="shared" si="11"/>
        <v>0.77777777777777768</v>
      </c>
    </row>
    <row r="92" spans="22:24" x14ac:dyDescent="0.2">
      <c r="V92" s="3">
        <v>0</v>
      </c>
      <c r="W92" s="3">
        <f>0.3+0.3/6*1</f>
        <v>0.35</v>
      </c>
      <c r="X92" s="3">
        <f>2/3+1/18*3</f>
        <v>0.83333333333333326</v>
      </c>
    </row>
    <row r="93" spans="22:24" x14ac:dyDescent="0.2">
      <c r="V93" s="3">
        <v>1.2</v>
      </c>
      <c r="W93" s="3">
        <f>0.3+0.3/6*1</f>
        <v>0.35</v>
      </c>
      <c r="X93" s="3">
        <f t="shared" ref="X93:X101" si="12">2/3+1/18*3</f>
        <v>0.83333333333333326</v>
      </c>
    </row>
    <row r="94" spans="22:24" x14ac:dyDescent="0.2">
      <c r="V94" s="3">
        <v>0</v>
      </c>
      <c r="W94" s="3">
        <f>0.3+0.3/6*2</f>
        <v>0.39999999999999997</v>
      </c>
      <c r="X94" s="3">
        <f t="shared" si="12"/>
        <v>0.83333333333333326</v>
      </c>
    </row>
    <row r="95" spans="22:24" x14ac:dyDescent="0.2">
      <c r="V95" s="3">
        <v>1.2</v>
      </c>
      <c r="W95" s="3">
        <f>0.3+0.3/6*2</f>
        <v>0.39999999999999997</v>
      </c>
      <c r="X95" s="3">
        <f t="shared" si="12"/>
        <v>0.83333333333333326</v>
      </c>
    </row>
    <row r="96" spans="22:24" x14ac:dyDescent="0.2">
      <c r="V96" s="3">
        <v>0</v>
      </c>
      <c r="W96" s="3">
        <f>0.3+0.3/6*3</f>
        <v>0.44999999999999996</v>
      </c>
      <c r="X96" s="3">
        <f t="shared" si="12"/>
        <v>0.83333333333333326</v>
      </c>
    </row>
    <row r="97" spans="22:24" x14ac:dyDescent="0.2">
      <c r="V97" s="3">
        <v>1.2</v>
      </c>
      <c r="W97" s="3">
        <f>0.3+0.3/6*3</f>
        <v>0.44999999999999996</v>
      </c>
      <c r="X97" s="3">
        <f t="shared" si="12"/>
        <v>0.83333333333333326</v>
      </c>
    </row>
    <row r="98" spans="22:24" x14ac:dyDescent="0.2">
      <c r="V98" s="3">
        <v>0</v>
      </c>
      <c r="W98" s="3">
        <f>0.3+0.3/6*4</f>
        <v>0.5</v>
      </c>
      <c r="X98" s="3">
        <f t="shared" si="12"/>
        <v>0.83333333333333326</v>
      </c>
    </row>
    <row r="99" spans="22:24" x14ac:dyDescent="0.2">
      <c r="V99" s="3">
        <v>1.2</v>
      </c>
      <c r="W99" s="3">
        <f>0.3+0.3/6*4</f>
        <v>0.5</v>
      </c>
      <c r="X99" s="3">
        <f t="shared" si="12"/>
        <v>0.83333333333333326</v>
      </c>
    </row>
    <row r="100" spans="22:24" x14ac:dyDescent="0.2">
      <c r="V100" s="3">
        <v>0</v>
      </c>
      <c r="W100" s="3">
        <f>0.3+0.3/6*5</f>
        <v>0.54999999999999993</v>
      </c>
      <c r="X100" s="3">
        <f t="shared" si="12"/>
        <v>0.83333333333333326</v>
      </c>
    </row>
    <row r="101" spans="22:24" x14ac:dyDescent="0.2">
      <c r="V101" s="3">
        <v>1.2</v>
      </c>
      <c r="W101" s="3">
        <f>0.3+0.3/6*5</f>
        <v>0.54999999999999993</v>
      </c>
      <c r="X101" s="3">
        <f t="shared" si="12"/>
        <v>0.83333333333333326</v>
      </c>
    </row>
    <row r="102" spans="22:24" x14ac:dyDescent="0.2">
      <c r="V102" s="3">
        <v>0</v>
      </c>
      <c r="W102" s="3">
        <f>0.3+0.3/6*1</f>
        <v>0.35</v>
      </c>
      <c r="X102" s="3">
        <f>2/3+1/18*4</f>
        <v>0.88888888888888884</v>
      </c>
    </row>
    <row r="103" spans="22:24" x14ac:dyDescent="0.2">
      <c r="V103" s="3">
        <v>1.2</v>
      </c>
      <c r="W103" s="3">
        <f>0.3+0.3/6*1</f>
        <v>0.35</v>
      </c>
      <c r="X103" s="3">
        <f t="shared" ref="X103:X111" si="13">2/3+1/18*4</f>
        <v>0.88888888888888884</v>
      </c>
    </row>
    <row r="104" spans="22:24" x14ac:dyDescent="0.2">
      <c r="V104" s="3">
        <v>0</v>
      </c>
      <c r="W104" s="3">
        <f>0.3+0.3/6*2</f>
        <v>0.39999999999999997</v>
      </c>
      <c r="X104" s="3">
        <f t="shared" si="13"/>
        <v>0.88888888888888884</v>
      </c>
    </row>
    <row r="105" spans="22:24" x14ac:dyDescent="0.2">
      <c r="V105" s="3">
        <v>1.2</v>
      </c>
      <c r="W105" s="3">
        <f>0.3+0.3/6*2</f>
        <v>0.39999999999999997</v>
      </c>
      <c r="X105" s="3">
        <f t="shared" si="13"/>
        <v>0.88888888888888884</v>
      </c>
    </row>
    <row r="106" spans="22:24" x14ac:dyDescent="0.2">
      <c r="V106" s="3">
        <v>0</v>
      </c>
      <c r="W106" s="3">
        <f>0.3+0.3/6*3</f>
        <v>0.44999999999999996</v>
      </c>
      <c r="X106" s="3">
        <f t="shared" si="13"/>
        <v>0.88888888888888884</v>
      </c>
    </row>
    <row r="107" spans="22:24" x14ac:dyDescent="0.2">
      <c r="V107" s="3">
        <v>1.2</v>
      </c>
      <c r="W107" s="3">
        <f>0.3+0.3/6*3</f>
        <v>0.44999999999999996</v>
      </c>
      <c r="X107" s="3">
        <f t="shared" si="13"/>
        <v>0.88888888888888884</v>
      </c>
    </row>
    <row r="108" spans="22:24" x14ac:dyDescent="0.2">
      <c r="V108" s="3">
        <v>0</v>
      </c>
      <c r="W108" s="3">
        <f>0.3+0.3/6*4</f>
        <v>0.5</v>
      </c>
      <c r="X108" s="3">
        <f t="shared" si="13"/>
        <v>0.88888888888888884</v>
      </c>
    </row>
    <row r="109" spans="22:24" x14ac:dyDescent="0.2">
      <c r="V109" s="3">
        <v>1.2</v>
      </c>
      <c r="W109" s="3">
        <f>0.3+0.3/6*4</f>
        <v>0.5</v>
      </c>
      <c r="X109" s="3">
        <f t="shared" si="13"/>
        <v>0.88888888888888884</v>
      </c>
    </row>
    <row r="110" spans="22:24" x14ac:dyDescent="0.2">
      <c r="V110" s="3">
        <v>0</v>
      </c>
      <c r="W110" s="3">
        <f>0.3+0.3/6*5</f>
        <v>0.54999999999999993</v>
      </c>
      <c r="X110" s="3">
        <f t="shared" si="13"/>
        <v>0.88888888888888884</v>
      </c>
    </row>
    <row r="111" spans="22:24" x14ac:dyDescent="0.2">
      <c r="V111" s="3">
        <v>1.2</v>
      </c>
      <c r="W111" s="3">
        <f>0.3+0.3/6*5</f>
        <v>0.54999999999999993</v>
      </c>
      <c r="X111" s="3">
        <f t="shared" si="13"/>
        <v>0.88888888888888884</v>
      </c>
    </row>
    <row r="112" spans="22:24" x14ac:dyDescent="0.2">
      <c r="V112" s="3">
        <v>0</v>
      </c>
      <c r="W112" s="3">
        <f>0.3+0.3/6*1</f>
        <v>0.35</v>
      </c>
      <c r="X112" s="3">
        <f>2/3+1/18*5</f>
        <v>0.94444444444444442</v>
      </c>
    </row>
    <row r="113" spans="22:24" x14ac:dyDescent="0.2">
      <c r="V113" s="3">
        <v>1.2</v>
      </c>
      <c r="W113" s="3">
        <f>0.3+0.3/6*1</f>
        <v>0.35</v>
      </c>
      <c r="X113" s="3">
        <f t="shared" ref="X113:X121" si="14">2/3+1/18*5</f>
        <v>0.94444444444444442</v>
      </c>
    </row>
    <row r="114" spans="22:24" x14ac:dyDescent="0.2">
      <c r="V114" s="3">
        <v>0</v>
      </c>
      <c r="W114" s="3">
        <f>0.3+0.3/6*2</f>
        <v>0.39999999999999997</v>
      </c>
      <c r="X114" s="3">
        <f t="shared" si="14"/>
        <v>0.94444444444444442</v>
      </c>
    </row>
    <row r="115" spans="22:24" x14ac:dyDescent="0.2">
      <c r="V115" s="3">
        <v>1.2</v>
      </c>
      <c r="W115" s="3">
        <f>0.3+0.3/6*2</f>
        <v>0.39999999999999997</v>
      </c>
      <c r="X115" s="3">
        <f t="shared" si="14"/>
        <v>0.94444444444444442</v>
      </c>
    </row>
    <row r="116" spans="22:24" x14ac:dyDescent="0.2">
      <c r="V116" s="3">
        <v>0</v>
      </c>
      <c r="W116" s="3">
        <f>0.3+0.3/6*3</f>
        <v>0.44999999999999996</v>
      </c>
      <c r="X116" s="3">
        <f t="shared" si="14"/>
        <v>0.94444444444444442</v>
      </c>
    </row>
    <row r="117" spans="22:24" x14ac:dyDescent="0.2">
      <c r="V117" s="3">
        <v>1.2</v>
      </c>
      <c r="W117" s="3">
        <f>0.3+0.3/6*3</f>
        <v>0.44999999999999996</v>
      </c>
      <c r="X117" s="3">
        <f t="shared" si="14"/>
        <v>0.94444444444444442</v>
      </c>
    </row>
    <row r="118" spans="22:24" x14ac:dyDescent="0.2">
      <c r="V118" s="3">
        <v>0</v>
      </c>
      <c r="W118" s="3">
        <f>0.3+0.3/6*4</f>
        <v>0.5</v>
      </c>
      <c r="X118" s="3">
        <f t="shared" si="14"/>
        <v>0.94444444444444442</v>
      </c>
    </row>
    <row r="119" spans="22:24" x14ac:dyDescent="0.2">
      <c r="V119" s="3">
        <v>1.2</v>
      </c>
      <c r="W119" s="3">
        <f>0.3+0.3/6*4</f>
        <v>0.5</v>
      </c>
      <c r="X119" s="3">
        <f t="shared" si="14"/>
        <v>0.94444444444444442</v>
      </c>
    </row>
    <row r="120" spans="22:24" x14ac:dyDescent="0.2">
      <c r="V120" s="3">
        <v>0</v>
      </c>
      <c r="W120" s="3">
        <f>0.3+0.3/6*5</f>
        <v>0.54999999999999993</v>
      </c>
      <c r="X120" s="3">
        <f t="shared" si="14"/>
        <v>0.94444444444444442</v>
      </c>
    </row>
    <row r="121" spans="22:24" x14ac:dyDescent="0.2">
      <c r="V121" s="3">
        <v>1.2</v>
      </c>
      <c r="W121" s="3">
        <f>0.3+0.3/6*5</f>
        <v>0.54999999999999993</v>
      </c>
      <c r="X121" s="3">
        <f t="shared" si="14"/>
        <v>0.94444444444444442</v>
      </c>
    </row>
  </sheetData>
  <sheetProtection formatCells="0" formatColumns="0" formatRows="0" insertColumns="0" insertRows="0" deleteColumns="0" deleteRows="0" selectLockedCells="1"/>
  <mergeCells count="1">
    <mergeCell ref="AE21:AJ2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32" r:id="rId4" name="ScrollBar3">
          <controlPr defaultSize="0" autoLine="0" linkedCell="AM16" r:id="rId5">
            <anchor moveWithCells="1">
              <from>
                <xdr:col>0</xdr:col>
                <xdr:colOff>3762375</xdr:colOff>
                <xdr:row>2</xdr:row>
                <xdr:rowOff>133350</xdr:rowOff>
              </from>
              <to>
                <xdr:col>0</xdr:col>
                <xdr:colOff>5419725</xdr:colOff>
                <xdr:row>5</xdr:row>
                <xdr:rowOff>9525</xdr:rowOff>
              </to>
            </anchor>
          </controlPr>
        </control>
      </mc:Choice>
      <mc:Fallback>
        <control shapeId="1032" r:id="rId4" name="ScrollBar3"/>
      </mc:Fallback>
    </mc:AlternateContent>
    <mc:AlternateContent xmlns:mc="http://schemas.openxmlformats.org/markup-compatibility/2006">
      <mc:Choice Requires="x14">
        <control shapeId="1031" r:id="rId6" name="ScrollBar2">
          <controlPr defaultSize="0" autoLine="0" linkedCell="AM15" r:id="rId7">
            <anchor moveWithCells="1">
              <from>
                <xdr:col>0</xdr:col>
                <xdr:colOff>2009775</xdr:colOff>
                <xdr:row>2</xdr:row>
                <xdr:rowOff>152400</xdr:rowOff>
              </from>
              <to>
                <xdr:col>0</xdr:col>
                <xdr:colOff>3667125</xdr:colOff>
                <xdr:row>5</xdr:row>
                <xdr:rowOff>19050</xdr:rowOff>
              </to>
            </anchor>
          </controlPr>
        </control>
      </mc:Choice>
      <mc:Fallback>
        <control shapeId="1031" r:id="rId6" name="ScrollBar2"/>
      </mc:Fallback>
    </mc:AlternateContent>
    <mc:AlternateContent xmlns:mc="http://schemas.openxmlformats.org/markup-compatibility/2006">
      <mc:Choice Requires="x14">
        <control shapeId="1030" r:id="rId8" name="ScrollBar1">
          <controlPr defaultSize="0" autoLine="0" linkedCell="AM14" r:id="rId9">
            <anchor moveWithCells="1">
              <from>
                <xdr:col>0</xdr:col>
                <xdr:colOff>228600</xdr:colOff>
                <xdr:row>3</xdr:row>
                <xdr:rowOff>0</xdr:rowOff>
              </from>
              <to>
                <xdr:col>0</xdr:col>
                <xdr:colOff>1905000</xdr:colOff>
                <xdr:row>5</xdr:row>
                <xdr:rowOff>9525</xdr:rowOff>
              </to>
            </anchor>
          </controlPr>
        </control>
      </mc:Choice>
      <mc:Fallback>
        <control shapeId="1030" r:id="rId8" name="ScrollBar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Kubus</vt:lpstr>
      <vt:lpstr>RMX_1</vt:lpstr>
      <vt:lpstr>RMX_2</vt:lpstr>
      <vt:lpstr>RMX_3</vt:lpstr>
      <vt:lpstr>RMY_1</vt:lpstr>
      <vt:lpstr>RMY_2</vt:lpstr>
      <vt:lpstr>RMY_3</vt:lpstr>
      <vt:lpstr>RMZ_1</vt:lpstr>
      <vt:lpstr>RMZ_2</vt:lpstr>
      <vt:lpstr>RMZ_3</vt:lpstr>
      <vt:lpstr>XCOS</vt:lpstr>
      <vt:lpstr>XROTATE</vt:lpstr>
      <vt:lpstr>XSIN</vt:lpstr>
      <vt:lpstr>YCOS</vt:lpstr>
      <vt:lpstr>YROTATE</vt:lpstr>
      <vt:lpstr>YSIN</vt:lpstr>
      <vt:lpstr>ZCOS</vt:lpstr>
      <vt:lpstr>ZROTATE</vt:lpstr>
      <vt:lpstr>ZSIN</vt:lpstr>
    </vt:vector>
  </TitlesOfParts>
  <Manager>Wim Gielis</Manager>
  <Company>Universiteit Antwerpen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Kubus, 3D, in Excel, met mogelijkheid tot draaien van perspectief</dc:title>
  <dc:subject>Kubus, 3D, in Excel, met mogelijkheid tot draaien van perspectief</dc:subject>
  <dc:creator>Wim Gielis</dc:creator>
  <cp:lastModifiedBy>Wim Gielis</cp:lastModifiedBy>
  <dcterms:created xsi:type="dcterms:W3CDTF">2002-09-23T10:25:19Z</dcterms:created>
  <dcterms:modified xsi:type="dcterms:W3CDTF">2014-01-02T13:14:33Z</dcterms:modified>
</cp:coreProperties>
</file>